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4Xib6OkcUY48ocvC1jPUZzqaeOpki6tp3LpRMgnLWGyFKDFybZcFRYudlPpecYkG7MJ7A/g5o+vXQfCWTO6Cxg==" workbookSaltValue="B+uAy0WAlGPSqfWWifhnN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G16" i="13" s="1"/>
  <c r="BB15" i="13"/>
  <c r="BA15" i="13"/>
  <c r="BD15" i="13" s="1"/>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C18" i="7"/>
  <c r="BH19" i="13"/>
  <c r="EP19" i="8"/>
  <c r="AJ13" i="16"/>
  <c r="S13" i="16"/>
  <c r="P13" i="16"/>
  <c r="H13" i="21"/>
  <c r="AN13" i="20"/>
  <c r="F15" i="17"/>
  <c r="AQ15" i="17" s="1"/>
  <c r="M18" i="2"/>
  <c r="AN12" i="11"/>
  <c r="H13" i="12"/>
  <c r="F13" i="7"/>
  <c r="T13" i="16"/>
  <c r="T13" i="20"/>
  <c r="BF15" i="13"/>
  <c r="BG15" i="13"/>
  <c r="BA18" i="13"/>
  <c r="BE15" i="13"/>
  <c r="BF16" i="13"/>
  <c r="W20" i="20"/>
  <c r="AV20" i="20"/>
  <c r="AP20" i="20"/>
  <c r="AA20" i="20"/>
  <c r="M20" i="20"/>
  <c r="BD17" i="8" l="1"/>
  <c r="AK19" i="8"/>
  <c r="BG12" i="8"/>
  <c r="K12" i="7" s="1"/>
  <c r="BG10" i="8"/>
  <c r="BD12" i="13"/>
  <c r="BG15" i="8"/>
  <c r="AO17" i="11"/>
  <c r="R8" i="9"/>
  <c r="F15" i="16"/>
  <c r="BE12" i="21"/>
  <c r="E12" i="6"/>
  <c r="AO12" i="11"/>
  <c r="BE9" i="8"/>
  <c r="I9" i="7" s="1"/>
  <c r="AO9" i="11"/>
  <c r="F11" i="11"/>
  <c r="AQ11" i="11" s="1"/>
  <c r="BB13" i="13"/>
  <c r="Q17" i="20"/>
  <c r="Q18" i="20" s="1"/>
  <c r="BM12" i="11"/>
  <c r="BK17" i="11"/>
  <c r="BV11" i="16"/>
  <c r="AZ16" i="11"/>
  <c r="BH10" i="16"/>
  <c r="AA10" i="16"/>
  <c r="BH15" i="16"/>
  <c r="AM11" i="11"/>
  <c r="AP15" i="20"/>
  <c r="BU10" i="17"/>
  <c r="BU16" i="17"/>
  <c r="S10" i="17"/>
  <c r="BL16" i="11"/>
  <c r="X12" i="21"/>
  <c r="BH11" i="16"/>
  <c r="BM16" i="11"/>
  <c r="BF10" i="11"/>
  <c r="BI10" i="11"/>
  <c r="R10" i="21"/>
  <c r="R13" i="21" s="1"/>
  <c r="BH17" i="11"/>
  <c r="BW9" i="20"/>
  <c r="BV15" i="16"/>
  <c r="BU17" i="17"/>
  <c r="AZ11" i="11"/>
  <c r="BL15" i="11"/>
  <c r="BH11" i="11"/>
  <c r="BH12" i="16"/>
  <c r="L16" i="2"/>
  <c r="S16" i="14"/>
  <c r="V16" i="14" s="1"/>
  <c r="T17" i="11"/>
  <c r="AA9" i="16"/>
  <c r="X17" i="20"/>
  <c r="V17" i="16"/>
  <c r="X9" i="16"/>
  <c r="X19" i="16" s="1"/>
  <c r="S17" i="14"/>
  <c r="V17" i="14" s="1"/>
  <c r="AM12" i="11"/>
  <c r="T16" i="11"/>
  <c r="X9" i="17"/>
  <c r="S17" i="17"/>
  <c r="X10" i="21"/>
  <c r="AF13" i="21"/>
  <c r="AF19" i="21" s="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T10" i="2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AN11" i="11"/>
  <c r="AN9" i="11"/>
  <c r="I10" i="3"/>
  <c r="E10" i="3"/>
  <c r="BI16" i="16"/>
  <c r="E16" i="3"/>
  <c r="H9" i="7"/>
  <c r="J12" i="2"/>
  <c r="E15" i="6"/>
  <c r="K15" i="12" s="1"/>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BE13" i="21"/>
  <c r="BE19" i="21" s="1"/>
  <c r="AS13" i="21"/>
  <c r="V19" i="19"/>
  <c r="AB19" i="19"/>
  <c r="AB13" i="21"/>
  <c r="AB19" i="21" s="1"/>
  <c r="AE13" i="21"/>
  <c r="AE19" i="21" s="1"/>
  <c r="EP19" i="19"/>
  <c r="ER19" i="19"/>
  <c r="BG9" i="13"/>
  <c r="AB19" i="13"/>
  <c r="BK19" i="13"/>
  <c r="AQ19" i="13"/>
  <c r="W19" i="13"/>
  <c r="Q19" i="13"/>
  <c r="BA13" i="13"/>
  <c r="BC18" i="13"/>
  <c r="BF18" i="13" s="1"/>
  <c r="BE17" i="13"/>
  <c r="BG10" i="13"/>
  <c r="BE10" i="13"/>
  <c r="J9" i="7"/>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B12" i="6"/>
  <c r="C12" i="6"/>
  <c r="AL12" i="11"/>
  <c r="L17" i="14"/>
  <c r="AO9" i="17"/>
  <c r="L19" i="21"/>
  <c r="M19" i="21"/>
  <c r="CJ19" i="19"/>
  <c r="AO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X20" i="20"/>
  <c r="AH20" i="20"/>
  <c r="AI20" i="20"/>
  <c r="AM20" i="20"/>
  <c r="AC20" i="20"/>
  <c r="AB20" i="20"/>
  <c r="I20" i="20"/>
  <c r="AD20" i="20"/>
  <c r="AX20" i="20"/>
  <c r="G18" i="14"/>
  <c r="U12" i="11"/>
  <c r="AJ20" i="20"/>
  <c r="O10" i="11"/>
  <c r="AL20" i="20"/>
  <c r="AG20" i="20"/>
  <c r="AE20" i="20"/>
  <c r="P20" i="20"/>
  <c r="Y20" i="20"/>
  <c r="Q20" i="20"/>
  <c r="F20" i="20"/>
  <c r="AF20" i="20"/>
  <c r="O16" i="11"/>
  <c r="T20" i="21"/>
  <c r="U10" i="11"/>
  <c r="H20" i="20"/>
  <c r="J12" i="12" l="1"/>
  <c r="AP16" i="20"/>
  <c r="BH15" i="11"/>
  <c r="BF17" i="11"/>
  <c r="BK11" i="11"/>
  <c r="BI15" i="11"/>
  <c r="BG15" i="11"/>
  <c r="T15" i="16"/>
  <c r="BV12" i="16"/>
  <c r="U10" i="17"/>
  <c r="BV9" i="16"/>
  <c r="BG12" i="11"/>
  <c r="AQ10" i="21"/>
  <c r="BM17" i="11"/>
  <c r="BJ16" i="11"/>
  <c r="U9" i="17"/>
  <c r="U19" i="17" s="1"/>
  <c r="BJ17" i="11"/>
  <c r="V11" i="16"/>
  <c r="BL12" i="11"/>
  <c r="AP10" i="21"/>
  <c r="BJ15" i="11"/>
  <c r="BJ18" i="11" s="1"/>
  <c r="R17" i="20"/>
  <c r="R18" i="20" s="1"/>
  <c r="BU11" i="17"/>
  <c r="BW12" i="20"/>
  <c r="BW10" i="20"/>
  <c r="AZ12" i="11"/>
  <c r="BI9" i="11"/>
  <c r="Q15" i="17"/>
  <c r="AQ12" i="21"/>
  <c r="X12" i="17"/>
  <c r="L9" i="2"/>
  <c r="R17" i="14"/>
  <c r="R18" i="14" s="1"/>
  <c r="BF11" i="11"/>
  <c r="BL9" i="11"/>
  <c r="BG10" i="11"/>
  <c r="P17" i="17"/>
  <c r="BK12" i="11"/>
  <c r="BK9" i="11"/>
  <c r="V11" i="11"/>
  <c r="Q10" i="21"/>
  <c r="BJ11" i="11"/>
  <c r="BI17" i="11"/>
  <c r="BL11" i="11"/>
  <c r="BM15" i="11"/>
  <c r="BU15" i="17"/>
  <c r="BW17" i="20"/>
  <c r="BW16" i="20"/>
  <c r="BW15" i="20"/>
  <c r="BV10" i="16"/>
  <c r="S11" i="17"/>
  <c r="AA15" i="16"/>
  <c r="S15" i="16"/>
  <c r="BF12" i="11"/>
  <c r="BL10" i="11"/>
  <c r="BK16" i="11"/>
  <c r="BG16" i="11"/>
  <c r="BM9" i="11"/>
  <c r="BK10" i="11"/>
  <c r="S15" i="17"/>
  <c r="V10" i="16"/>
  <c r="S12" i="14"/>
  <c r="V12" i="14" s="1"/>
  <c r="R11" i="14"/>
  <c r="S11" i="14"/>
  <c r="V11" i="14" s="1"/>
  <c r="X16" i="17"/>
  <c r="X15" i="17"/>
  <c r="AA11" i="16"/>
  <c r="T17" i="20"/>
  <c r="V12" i="21"/>
  <c r="X16" i="20"/>
  <c r="L11" i="2"/>
  <c r="L17" i="2"/>
  <c r="V15" i="20"/>
  <c r="V18" i="20" s="1"/>
  <c r="S10" i="14"/>
  <c r="V10" i="14" s="1"/>
  <c r="R10" i="14"/>
  <c r="R16" i="14"/>
  <c r="S9" i="14"/>
  <c r="V9" i="14" s="1"/>
  <c r="T15" i="11"/>
  <c r="AA16" i="16"/>
  <c r="X17" i="17"/>
  <c r="X11" i="17"/>
  <c r="S9" i="17"/>
  <c r="AZ9" i="11"/>
  <c r="AZ17" i="11"/>
  <c r="X12" i="16"/>
  <c r="AP13" i="20"/>
  <c r="I12" i="12"/>
  <c r="AO12" i="17"/>
  <c r="AM16" i="11"/>
  <c r="V10" i="21"/>
  <c r="AQ13" i="21"/>
  <c r="S16" i="17"/>
  <c r="AZ15" i="11"/>
  <c r="AZ18" i="11" s="1"/>
  <c r="V15" i="16"/>
  <c r="AA17" i="16"/>
  <c r="S15" i="14"/>
  <c r="V15" i="14" s="1"/>
  <c r="R12" i="14"/>
  <c r="X15" i="16"/>
  <c r="X18" i="16" s="1"/>
  <c r="L15" i="2"/>
  <c r="AA12" i="21"/>
  <c r="X13" i="20"/>
  <c r="X10" i="17"/>
  <c r="T12" i="11"/>
  <c r="V9" i="16"/>
  <c r="L10" i="2"/>
  <c r="T11" i="11"/>
  <c r="BJ10" i="11"/>
  <c r="P15" i="17"/>
  <c r="BU12" i="17"/>
  <c r="BU9" i="17"/>
  <c r="BV16" i="16"/>
  <c r="AP17" i="20"/>
  <c r="BG9" i="11"/>
  <c r="V9" i="11"/>
  <c r="BK15" i="11"/>
  <c r="BL17" i="11"/>
  <c r="BH17" i="16"/>
  <c r="T9" i="11"/>
  <c r="L12" i="2"/>
  <c r="BF15" i="11"/>
  <c r="Q17" i="17"/>
  <c r="BW11" i="20"/>
  <c r="T17" i="16"/>
  <c r="BH9" i="11"/>
  <c r="BF16" i="11"/>
  <c r="BH9" i="16"/>
  <c r="BH16" i="11"/>
  <c r="BH10" i="11"/>
  <c r="V12" i="16"/>
  <c r="BV17" i="16"/>
  <c r="BJ12" i="11"/>
  <c r="S17" i="16"/>
  <c r="V15" i="11"/>
  <c r="Q9" i="11"/>
  <c r="U10" i="21"/>
  <c r="BE13" i="13"/>
  <c r="BK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BB19" i="16"/>
  <c r="BC19" i="13"/>
  <c r="Z19" i="13"/>
  <c r="BD13" i="13"/>
  <c r="BF9" i="13"/>
  <c r="AY13" i="13"/>
  <c r="BG13" i="13" s="1"/>
  <c r="BA19" i="13"/>
  <c r="BF19" i="13" s="1"/>
  <c r="AI19" i="13"/>
  <c r="L19" i="13"/>
  <c r="Y19" i="13"/>
  <c r="N19" i="13"/>
  <c r="BD10" i="13"/>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M18" i="14"/>
  <c r="U21" i="11"/>
  <c r="U13" i="11"/>
  <c r="V13" i="11" s="1"/>
  <c r="U19" i="11"/>
  <c r="V19" i="11" s="1"/>
  <c r="V10" i="11"/>
  <c r="V12" i="11"/>
  <c r="O13" i="11"/>
  <c r="O19" i="11"/>
  <c r="O17" i="11"/>
  <c r="T20" i="20"/>
  <c r="AX20" i="21"/>
  <c r="U17" i="11"/>
  <c r="N20" i="20"/>
  <c r="H20" i="17"/>
  <c r="AZ19" i="11" l="1"/>
  <c r="AZ13" i="11"/>
  <c r="S18" i="16"/>
  <c r="S19" i="16" s="1"/>
  <c r="P18" i="17"/>
  <c r="P19" i="17" s="1"/>
  <c r="Q18" i="17"/>
  <c r="Q19" i="17" s="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<sst xmlns="http://schemas.openxmlformats.org/spreadsheetml/2006/main" count="2102" uniqueCount="916">
  <si>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</si>
  <si>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</si>
  <si>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</si>
  <si>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</si>
  <si>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</si>
  <si>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</si>
  <si>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</si>
  <si>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</si>
  <si>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</si>
  <si>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</si>
  <si>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</si>
  <si>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</si>
  <si>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</si>
  <si>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</si>
  <si>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</si>
  <si>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</si>
  <si>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</si>
  <si>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</si>
  <si>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</si>
  <si>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</si>
  <si>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</si>
  <si>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</si>
  <si>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</si>
  <si>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</si>
  <si>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</si>
  <si>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</si>
  <si>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</si>
  <si>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</si>
  <si>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</si>
  <si>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</si>
  <si>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</si>
  <si>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</si>
  <si>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</si>
  <si>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</si>
  <si>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</si>
  <si>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</si>
  <si>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</si>
  <si>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</si>
  <si>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</si>
  <si>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</si>
  <si>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</si>
  <si>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</si>
  <si>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</si>
  <si>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</si>
  <si>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</si>
  <si>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</si>
  <si>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</si>
  <si>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</si>
  <si>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</si>
  <si>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</si>
  <si>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</si>
  <si>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</si>
  <si>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</si>
  <si>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</si>
  <si>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</si>
  <si>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</si>
  <si>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</si>
  <si>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</si>
  <si>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</si>
  <si>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</si>
  <si>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</si>
  <si>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</si>
  <si>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</si>
  <si>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</si>
  <si>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</si>
  <si>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</si>
  <si>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</si>
  <si>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</si>
  <si>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</si>
  <si>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</si>
  <si>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</si>
  <si>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</si>
  <si>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</si>
  <si>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</si>
  <si>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</si>
  <si>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</si>
  <si>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</si>
  <si>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</si>
  <si>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</si>
  <si>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</si>
  <si>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</si>
  <si>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</si>
  <si>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</si>
  <si>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</si>
  <si>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</si>
  <si>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</si>
  <si>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</si>
  <si>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</si>
  <si>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</si>
  <si>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</si>
  <si>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</si>
  <si>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</si>
  <si>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</si>
  <si>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</si>
  <si>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</si>
  <si>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</si>
  <si>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</si>
  <si>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</si>
  <si>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</si>
  <si>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</si>
  <si>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</si>
  <si>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</si>
  <si>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</si>
  <si>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</si>
  <si>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</si>
  <si>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</si>
  <si>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</si>
  <si>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</si>
  <si>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</si>
  <si>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</si>
  <si>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</si>
  <si>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</si>
  <si>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</si>
  <si>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</si>
  <si>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</si>
  <si>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</si>
  <si>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</si>
  <si>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</si>
  <si>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</si>
  <si>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</si>
  <si>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</si>
  <si>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</si>
  <si>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</si>
  <si>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</si>
  <si>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</si>
  <si>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</si>
  <si>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</si>
  <si>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</si>
  <si>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</si>
  <si>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</si>
  <si>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</si>
  <si>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</si>
  <si>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</si>
  <si>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</si>
  <si>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</si>
  <si>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</si>
  <si>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</si>
  <si>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</si>
  <si>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</si>
  <si>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</si>
  <si>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</si>
  <si>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</si>
  <si>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</si>
  <si>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</si>
  <si>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</si>
  <si>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</si>
  <si>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</si>
  <si>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</si>
  <si>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</si>
  <si>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</si>
  <si>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</si>
  <si>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</si>
  <si>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</si>
  <si>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</si>
  <si>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</si>
  <si>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</si>
  <si>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</si>
  <si>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</si>
  <si>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</si>
  <si>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</si>
  <si>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</si>
  <si>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</si>
  <si>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</si>
  <si>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</si>
  <si>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</si>
  <si>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</si>
  <si>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</si>
  <si>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</si>
  <si>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</si>
  <si>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</si>
  <si>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</si>
  <si>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</si>
  <si>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</si>
  <si>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</si>
  <si>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</si>
  <si>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</si>
  <si>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</si>
  <si>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</si>
  <si>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</si>
  <si>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</si>
  <si>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</si>
  <si>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</si>
  <si>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</si>
  <si>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</si>
  <si>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</si>
  <si>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</si>
  <si>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</si>
  <si>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</si>
  <si>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</si>
  <si>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</si>
  <si>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</si>
  <si>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</si>
  <si>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</si>
  <si>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</si>
  <si>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</si>
  <si>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</si>
  <si>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</si>
  <si>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</si>
  <si>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</si>
  <si>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</si>
  <si>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</si>
  <si>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</si>
  <si>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</si>
  <si>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</si>
  <si>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</si>
  <si>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</si>
  <si>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</si>
  <si>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</si>
  <si>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</si>
  <si>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</si>
  <si>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</si>
  <si>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</si>
  <si>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</si>
  <si>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</si>
  <si>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</si>
  <si>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</si>
  <si>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</si>
  <si>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</si>
  <si>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</si>
  <si>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</si>
  <si>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</si>
  <si>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</si>
  <si>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</si>
  <si>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</si>
  <si>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</si>
  <si>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</si>
  <si>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</si>
  <si>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</si>
  <si>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</si>
  <si>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</si>
  <si>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</si>
  <si>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</si>
  <si>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</si>
  <si>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</si>
  <si>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</si>
  <si>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</si>
  <si>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</si>
  <si>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</si>
  <si>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</si>
  <si>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</si>
  <si>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</si>
  <si>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</si>
  <si>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</si>
  <si>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</si>
  <si>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</si>
  <si>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</si>
  <si>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</si>
  <si>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</si>
  <si>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</si>
  <si>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</si>
  <si>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</si>
  <si>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</si>
  <si>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</si>
  <si>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</si>
  <si>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</si>
  <si>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</si>
  <si>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</si>
  <si>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</si>
  <si>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</si>
  <si>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</si>
  <si>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</si>
  <si>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</si>
  <si>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</si>
  <si>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</si>
  <si>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</si>
  <si>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</si>
  <si>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</si>
  <si>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</si>
  <si>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</si>
  <si>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</si>
  <si>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</si>
  <si>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</si>
  <si>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</si>
  <si>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</si>
  <si>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</si>
  <si>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</si>
  <si>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</si>
  <si>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</si>
  <si>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</si>
  <si>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</si>
  <si>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</si>
  <si>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</si>
  <si>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</si>
  <si>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</si>
  <si>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</si>
  <si>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</si>
  <si>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</si>
  <si>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</si>
  <si>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</si>
  <si>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</si>
  <si>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</si>
  <si>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</si>
  <si>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</si>
  <si>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</si>
  <si>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</si>
  <si>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</si>
  <si>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</si>
  <si>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</si>
  <si>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</si>
  <si>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</si>
  <si>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</si>
  <si>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</si>
  <si>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</si>
  <si>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</si>
  <si>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</si>
  <si>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</si>
  <si>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</si>
  <si>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</si>
  <si>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</si>
  <si>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</si>
  <si>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</si>
  <si>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</si>
  <si>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</si>
  <si>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</si>
  <si>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</si>
  <si>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</si>
  <si>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</si>
  <si>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</si>
  <si>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</si>
  <si>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</si>
  <si>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</si>
  <si>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</si>
  <si>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</si>
  <si>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</si>
  <si>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</si>
  <si>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</si>
  <si>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</si>
  <si>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</si>
  <si>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</si>
  <si>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</si>
  <si>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</si>
  <si>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</si>
  <si>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</si>
  <si>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</si>
  <si>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</si>
  <si>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</si>
  <si>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</si>
  <si>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</si>
  <si>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</si>
  <si>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</si>
  <si>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</si>
  <si>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</si>
  <si>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</si>
  <si>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</si>
  <si>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</si>
  <si>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</si>
  <si>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</si>
  <si>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</si>
  <si>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</si>
  <si>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</si>
  <si>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</si>
  <si>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</si>
  <si>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</si>
  <si>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</si>
  <si>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</si>
  <si>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</si>
  <si>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</si>
  <si>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</si>
  <si>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</si>
  <si>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</si>
  <si>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</si>
  <si>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</si>
  <si>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</si>
  <si>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</si>
  <si>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</si>
  <si>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</si>
  <si>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</si>
  <si>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</si>
  <si>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</si>
  <si>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</si>
  <si>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</si>
  <si>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</si>
  <si>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</si>
  <si>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</si>
  <si>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</si>
  <si>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</si>
  <si>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</si>
  <si>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</si>
  <si>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</si>
  <si>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</si>
  <si>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</si>
  <si>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</si>
  <si>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</si>
  <si>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</si>
  <si>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</si>
  <si>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</si>
  <si>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</si>
  <si>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</si>
  <si>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</si>
  <si>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</si>
  <si>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</si>
  <si>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</si>
  <si>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</si>
  <si>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</si>
  <si>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</si>
  <si>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</si>
  <si>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</si>
  <si>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</si>
  <si>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</si>
  <si>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</si>
  <si>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</si>
  <si>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</si>
  <si>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</si>
  <si>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</si>
  <si>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</si>
  <si>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</si>
  <si>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</si>
  <si>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</si>
  <si>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</si>
  <si>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</si>
  <si>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</si>
  <si>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</si>
  <si>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</si>
  <si>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</si>
  <si>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</si>
  <si>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</si>
  <si>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</si>
  <si>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</si>
  <si>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</si>
  <si>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</si>
  <si>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</si>
  <si>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</si>
  <si>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</si>
  <si>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</si>
  <si>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</si>
  <si>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</si>
  <si>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</si>
  <si>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</si>
  <si>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</si>
  <si>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</si>
  <si>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</si>
  <si>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</si>
  <si>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</si>
  <si>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</si>
  <si>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</si>
  <si>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</si>
  <si>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</si>
  <si>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</si>
  <si>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</si>
  <si>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</si>
  <si>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</si>
  <si>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</si>
  <si>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</si>
  <si>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</si>
  <si>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</si>
  <si>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</si>
  <si>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</si>
  <si>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</si>
  <si>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</si>
  <si>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</si>
  <si>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</si>
  <si>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</si>
  <si>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</si>
  <si>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</si>
  <si>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</si>
  <si>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</si>
  <si>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</si>
  <si>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</si>
  <si>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</si>
  <si>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</si>
  <si>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</si>
  <si>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</si>
  <si>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</si>
  <si>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</si>
  <si>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</si>
  <si>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</si>
  <si>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</si>
  <si>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</si>
  <si>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</si>
  <si>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</si>
  <si>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</si>
  <si>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</si>
  <si>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</si>
  <si>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</si>
  <si>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</si>
  <si>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</si>
  <si>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</si>
  <si>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</si>
  <si>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</si>
  <si>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</si>
  <si>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</si>
  <si>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</si>
  <si>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</si>
  <si>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</si>
  <si>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</si>
  <si>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</si>
  <si>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</si>
  <si>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</si>
  <si>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</si>
  <si>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</si>
  <si>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</si>
  <si>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</si>
  <si>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</si>
  <si>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</si>
  <si>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</si>
  <si>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</si>
  <si>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</si>
  <si>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</si>
  <si>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</si>
  <si>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</si>
  <si>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</si>
  <si>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</si>
  <si>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</si>
  <si>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</si>
  <si>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</si>
  <si>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</si>
  <si>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</si>
  <si>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</si>
  <si>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</si>
  <si>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</si>
  <si>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</si>
  <si>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</si>
  <si>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</si>
  <si>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</si>
  <si>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</si>
  <si>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</si>
  <si>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</si>
  <si>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</si>
  <si>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</si>
  <si>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</si>
  <si>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</si>
  <si>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</si>
  <si>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</si>
  <si>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</si>
  <si>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</si>
  <si>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</si>
  <si>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</si>
  <si>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</si>
  <si>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</si>
  <si>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</si>
  <si>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</si>
  <si>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</si>
  <si>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</si>
  <si>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</si>
  <si>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</si>
  <si>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</si>
  <si>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</si>
  <si>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</si>
  <si>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</si>
  <si>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</si>
  <si>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</si>
  <si>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</si>
  <si>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</si>
  <si>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</si>
  <si>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</si>
  <si>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</si>
  <si>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</si>
  <si>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</si>
  <si>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</si>
  <si>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</si>
  <si>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</si>
  <si>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</si>
  <si>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</si>
  <si>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</si>
  <si>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</si>
  <si>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</si>
  <si>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</si>
  <si>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</si>
  <si>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</si>
  <si>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</si>
  <si>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</si>
  <si>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</si>
  <si>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</si>
  <si>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</si>
  <si>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</si>
  <si>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</si>
  <si>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</si>
  <si>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</si>
  <si>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</si>
  <si>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</si>
  <si>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</si>
  <si>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</si>
  <si>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</si>
  <si>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</si>
  <si>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</si>
  <si>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</si>
  <si>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</si>
  <si>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</si>
  <si>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</si>
  <si>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</si>
  <si>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</si>
  <si>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</si>
  <si>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</si>
  <si>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</si>
  <si>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</si>
  <si>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</si>
  <si>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</si>
  <si>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</si>
  <si>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</si>
  <si>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</si>
  <si>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</si>
  <si>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</si>
  <si>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</si>
  <si>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</si>
  <si>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</si>
  <si>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</si>
  <si>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</si>
  <si>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</si>
  <si>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</si>
  <si>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</si>
  <si>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</si>
  <si>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</si>
  <si>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</si>
  <si>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</si>
  <si>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</si>
  <si>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</si>
  <si>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</si>
  <si>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</si>
  <si>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</si>
  <si>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</si>
  <si>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</si>
  <si>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</si>
  <si>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</si>
  <si>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</si>
  <si>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</si>
  <si>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</si>
  <si>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</si>
  <si>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</si>
  <si>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</si>
  <si>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</si>
  <si>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</si>
  <si>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</si>
  <si>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</si>
  <si>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</si>
  <si>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</si>
  <si>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</si>
  <si>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</si>
  <si>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</si>
  <si>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</si>
  <si>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</si>
  <si>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</si>
  <si>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</si>
  <si>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</si>
  <si>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</si>
  <si>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</si>
  <si>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</si>
  <si>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</si>
  <si>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</si>
  <si>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</si>
  <si>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</si>
  <si>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</si>
  <si>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</si>
  <si>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</si>
  <si>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</si>
  <si>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</si>
  <si>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</si>
  <si>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</si>
  <si>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</si>
  <si>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</si>
  <si>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</si>
  <si>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</si>
  <si>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</si>
  <si>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</si>
  <si>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</si>
  <si>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</si>
  <si>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</si>
  <si>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</si>
  <si>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</si>
  <si>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</si>
  <si>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</si>
  <si>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</si>
  <si>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</si>
  <si>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</si>
  <si>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</si>
  <si>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</si>
  <si>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</si>
  <si>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</si>
  <si>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</si>
  <si>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</si>
  <si>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</si>
  <si>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</si>
  <si>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</si>
  <si>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</si>
  <si>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</si>
  <si>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</si>
  <si>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</si>
  <si>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</si>
  <si>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</si>
  <si>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</si>
  <si>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</si>
  <si>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</si>
  <si>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</si>
  <si>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</si>
  <si>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</si>
  <si>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</si>
  <si>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</si>
  <si>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</si>
  <si>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</si>
  <si>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</si>
  <si>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</si>
  <si>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</si>
  <si>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</si>
  <si>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</si>
  <si>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</si>
  <si>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</si>
  <si>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</si>
  <si>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</si>
  <si>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</si>
  <si>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</si>
  <si>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</si>
  <si>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</si>
  <si>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</si>
  <si>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</si>
  <si>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</si>
  <si>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</si>
  <si>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</si>
  <si>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</si>
  <si>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</si>
  <si>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</si>
  <si>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</si>
  <si>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</si>
  <si>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</si>
  <si>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</si>
  <si>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</si>
  <si>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</si>
  <si>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</si>
  <si>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</si>
  <si>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</si>
  <si>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</si>
  <si>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</si>
  <si>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</si>
  <si>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</si>
  <si>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</si>
  <si>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</si>
  <si>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</si>
  <si>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</si>
  <si>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</si>
  <si>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</si>
  <si>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</si>
  <si>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</si>
  <si>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</si>
  <si>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</si>
  <si>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</si>
  <si>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</si>
  <si>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</si>
  <si>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</si>
  <si>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</si>
  <si>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</si>
  <si>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</si>
  <si>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</si>
  <si>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</si>
  <si>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</si>
  <si>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</si>
  <si>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</si>
  <si>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</si>
  <si>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</si>
  <si>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</si>
  <si>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</si>
  <si>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</si>
  <si>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</si>
  <si>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</si>
  <si>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</si>
  <si>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</si>
  <si>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</si>
  <si>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</si>
  <si>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</si>
  <si>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</si>
  <si>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</si>
  <si>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</si>
  <si>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</si>
  <si>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</si>
  <si>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</si>
  <si>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</si>
  <si>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</si>
  <si>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</si>
  <si>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</si>
  <si>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</si>
  <si>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</si>
  <si>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</si>
  <si>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</si>
  <si>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</si>
  <si>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</si>
  <si>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</si>
  <si>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</si>
  <si>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</si>
  <si>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</si>
  <si>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</si>
  <si>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</si>
  <si>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</si>
  <si>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</si>
  <si>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</si>
  <si>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</si>
  <si>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</si>
  <si>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</si>
  <si>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</si>
  <si>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</si>
  <si>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</si>
  <si>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</si>
  <si>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</si>
  <si>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</si>
  <si>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</si>
  <si>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</si>
  <si>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</si>
  <si>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</si>
  <si>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</si>
  <si>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</si>
  <si>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</si>
  <si>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</si>
  <si>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</si>
  <si>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</si>
  <si>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</si>
  <si>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</si>
  <si>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</si>
  <si>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</si>
  <si>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</si>
  <si>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</si>
  <si>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</si>
  <si>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</si>
  <si>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</si>
  <si>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</si>
  <si>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</si>
  <si>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</si>
  <si>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</si>
  <si>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</si>
  <si>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</si>
  <si>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</si>
  <si>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</si>
  <si>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</si>
  <si>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</si>
  <si>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</si>
  <si>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</si>
  <si>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</si>
  <si>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</si>
  <si>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</si>
  <si>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</si>
  <si>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</si>
  <si>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</si>
  <si>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</si>
  <si>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</si>
  <si>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</si>
  <si>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</si>
  <si>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</si>
  <si>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</si>
  <si>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</si>
  <si>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</si>
  <si>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</si>
  <si>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</si>
  <si>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</si>
  <si>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</si>
  <si>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</si>
  <si>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</si>
  <si>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</si>
  <si>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</si>
  <si>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</si>
  <si>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</si>
  <si>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</si>
  <si>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</si>
  <si>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</si>
  <si>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</si>
  <si>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</si>
  <si>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</si>
  <si>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</si>
  <si>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</si>
  <si>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</si>
  <si>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</si>
  <si>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</si>
  <si>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</si>
  <si>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</si>
  <si>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</si>
  <si>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</si>
  <si>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</si>
  <si>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</si>
  <si>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</si>
  <si>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</si>
  <si>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</si>
  <si>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</si>
  <si>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</si>
  <si>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</si>
  <si>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</si>
  <si>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</si>
  <si>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</si>
  <si>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</si>
  <si>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</si>
  <si>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</si>
  <si>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</si>
  <si>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</si>
  <si>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</si>
  <si>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</si>
  <si>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</si>
  <si>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</si>
  <si>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</si>
  <si>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</si>
  <si>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</si>
  <si>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</si>
  <si>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</si>
  <si>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</si>
  <si>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</si>
  <si>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</si>
  <si>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</si>
  <si>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</si>
  <si>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</si>
  <si>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</si>
  <si>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</si>
  <si>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</si>
  <si>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</si>
  <si>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</si>
  <si>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</si>
  <si>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</si>
  <si>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</si>
  <si>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</si>
  <si>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</si>
  <si>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</si>
  <si>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</si>
  <si>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</si>
  <si>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</si>
  <si>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</si>
  <si>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</si>
  <si>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</si>
  <si>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</si>
  <si>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</si>
  <si>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</si>
  <si>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</si>
  <si>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</si>
  <si>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ALMERIA</t>
  </si>
  <si>
    <t>Resumenes por Partidos Judiciales</t>
  </si>
  <si>
    <t>ROQUETAS DE MAR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</si>
</sst>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VALqMKskrds0GuhPry53CI3CE+TkJtCayNw1iXABMrq1dvdVo9MFe3E/SdGKLDLJTcQ9ycVSwL37nF/GVG25A==" saltValue="nkq6ankaDODnJTaU2Wp1/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148</v>
      </c>
      <c r="D10" s="225">
        <f>IF(ISNUMBER(Datos!I10),Datos!I10," - ")</f>
        <v>148</v>
      </c>
      <c r="E10" s="226">
        <f>IF(ISNUMBER(Datos!J10),Datos!J10," - ")</f>
        <v>15</v>
      </c>
      <c r="F10" s="226">
        <f>IF(ISNUMBER(Datos!K10),Datos!K10," - ")</f>
        <v>38</v>
      </c>
      <c r="G10" s="1034" t="str">
        <f>IF(Datos!E10&lt;&gt;"",Datos!E10,Datos!D10)</f>
        <v>37</v>
      </c>
      <c r="H10" s="227">
        <f>IF(ISNUMBER(Datos!L10),Datos!L10," - ")</f>
        <v>125</v>
      </c>
      <c r="I10" s="1044" t="str">
        <f>IF(ISNUMBER(Datos!AS10/Datos!BM10),Datos!AS10/Datos!BM10," - ")</f>
        <v xml:space="preserve"> - </v>
      </c>
      <c r="J10" s="1045">
        <f>IF(ISNUMBER(Datos!BY10/Datos!CN10),Datos!BY10/Datos!CN10," - ")</f>
        <v>0</v>
      </c>
      <c r="K10" s="230">
        <f t="shared" ref="K10:K12" si="1">IF(ISNUMBER((E10-F10)/C10),(E10-F10)/C10," - ")</f>
        <v>-0.1554054054054054</v>
      </c>
      <c r="L10" s="1025">
        <f>IF(ISNUMBER(NºAsuntos!I10/NºAsuntos!G10),(NºAsuntos!I10/NºAsuntos!G10)*11," - ")</f>
        <v>36.184210526315788</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7</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42.025075225677028</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148</v>
      </c>
      <c r="D13" s="1049">
        <f>SUBTOTAL(9,D9:D12)</f>
        <v>148</v>
      </c>
      <c r="E13" s="1050">
        <f>SUBTOTAL(9,E9:E12)</f>
        <v>15</v>
      </c>
      <c r="F13" s="1051">
        <f>SUBTOTAL(9,F9:F12)</f>
        <v>38</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7</v>
      </c>
      <c r="B16" s="502" t="str">
        <f>Datos!A16</f>
        <v xml:space="preserve">Jdos. 1ª Instª. e Instr.                        </v>
      </c>
      <c r="C16" s="225">
        <f t="shared" si="2"/>
        <v>2849</v>
      </c>
      <c r="D16" s="225">
        <f>IF(ISNUMBER(IF(D_I="SI",Datos!I16,Datos!I16+Datos!AC16)),IF(D_I="SI",Datos!I16,Datos!I16+Datos!AC16)," - ")</f>
        <v>2848</v>
      </c>
      <c r="E16" s="226">
        <f>IF(ISNUMBER(IF(D_I="SI",Datos!J16,Datos!J16+Datos!AD16)),IF(D_I="SI",Datos!J16,Datos!J16+Datos!AD16)," - ")</f>
        <v>1807</v>
      </c>
      <c r="F16" s="226">
        <f>IF(ISNUMBER(IF(D_I="SI",Datos!K16,Datos!K16+Datos!AE16)),IF(D_I="SI",Datos!K16,Datos!K16+Datos!AE16)," - ")</f>
        <v>1629</v>
      </c>
      <c r="G16" s="1034" t="str">
        <f>IF(Datos!E16&lt;&gt;"",Datos!E16,Datos!D16)</f>
        <v>04</v>
      </c>
      <c r="H16" s="227">
        <f>IF(ISNUMBER(IF(D_I="SI",Datos!L16,Datos!L16+Datos!AF16)),IF(D_I="SI",Datos!L16,Datos!L16+Datos!AF16)," - ")</f>
        <v>3027</v>
      </c>
      <c r="I16" s="1044" t="str">
        <f>IF(ISNUMBER(Datos!AS16/Datos!BM16),Datos!AS16/Datos!BM16," - ")</f>
        <v xml:space="preserve"> - </v>
      </c>
      <c r="J16" s="1045">
        <f>IF(ISNUMBER(Datos!BY16/Datos!CN16),Datos!BY16/Datos!CN16," - ")</f>
        <v>0</v>
      </c>
      <c r="K16" s="230">
        <f t="shared" si="3"/>
        <v>6.2478062478062479E-2</v>
      </c>
      <c r="L16" s="1025">
        <f>IF(ISNUMBER(NºAsuntos!I16/NºAsuntos!G16),(NºAsuntos!I16/NºAsuntos!G16)*11," - ")</f>
        <v>20.440147329650092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118</v>
      </c>
      <c r="D17" s="225">
        <f>IF(ISNUMBER(IF(D_I="SI",Datos!I17,Datos!I17+Datos!AC17)),IF(D_I="SI",Datos!I17,Datos!I17+Datos!AC17)," - ")</f>
        <v>118</v>
      </c>
      <c r="E17" s="226">
        <f>IF(ISNUMBER(IF(D_I="SI",Datos!J17,Datos!J17+Datos!AD17)),IF(D_I="SI",Datos!J17,Datos!J17+Datos!AD17)," - ")</f>
        <v>7</v>
      </c>
      <c r="F17" s="226">
        <f>IF(ISNUMBER(IF(D_I="SI",Datos!K17,Datos!K17+Datos!AE17)),IF(D_I="SI",Datos!K17,Datos!K17+Datos!AE17)," - ")</f>
        <v>41</v>
      </c>
      <c r="G17" s="1034" t="str">
        <f>IF(Datos!E17&lt;&gt;"",Datos!E17,Datos!D17)</f>
        <v>37</v>
      </c>
      <c r="H17" s="227">
        <f>IF(ISNUMBER(IF(D_I="SI",Datos!L17,Datos!L17+Datos!AF17)),IF(D_I="SI",Datos!L17,Datos!L17+Datos!AF17)," - ")</f>
        <v>84</v>
      </c>
      <c r="I17" s="1044" t="str">
        <f>IF(ISNUMBER(Datos!AS17/Datos!BM17),Datos!AS17/Datos!BM17," - ")</f>
        <v xml:space="preserve"> - </v>
      </c>
      <c r="J17" s="1045" t="str">
        <f>IF(ISNUMBER((Datos!BY17+Datos!BZ17)/Datos!CN17),(Datos!BY17+Datos!BZ17)/Datos!CN17," - ")</f>
        <v xml:space="preserve"> - </v>
      </c>
      <c r="K17" s="230">
        <f t="shared" si="3"/>
        <v>-0.28813559322033899</v>
      </c>
      <c r="L17" s="1025">
        <f>IF(ISNUMBER(NºAsuntos!I17/NºAsuntos!G17),(NºAsuntos!I17/NºAsuntos!G17)*11," - ")</f>
        <v>22.536585365853661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2967</v>
      </c>
      <c r="D18" s="1049">
        <f>SUBTOTAL(9,D15:D17)</f>
        <v>2966</v>
      </c>
      <c r="E18" s="1050">
        <f>SUBTOTAL(9,E15:E17)</f>
        <v>1814</v>
      </c>
      <c r="F18" s="1050">
        <f>SUBTOTAL(9,F15:F17)</f>
        <v>1670</v>
      </c>
      <c r="G18" s="1052" t="str">
        <f ca="1">INDIRECT(CONCATENATE("G",ROW()-1))</f>
        <v>37</v>
      </c>
      <c r="H18" s="1053">
        <f ca="1">SUMIF(G$14:G17,G18,H$14:H17)</f>
        <v>84</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3115</v>
      </c>
      <c r="D19" s="1071">
        <f>SUBTOTAL(9,D9:D18)</f>
        <v>3114</v>
      </c>
      <c r="E19" s="1072">
        <f>SUBTOTAL(9,E9:E18)</f>
        <v>1829</v>
      </c>
      <c r="F19" s="1072">
        <f>SUBTOTAL(9,F9:F18)</f>
        <v>1708</v>
      </c>
      <c r="G19" s="1073"/>
      <c r="H19" s="1074">
        <f ca="1">SUMIF(B9:B18,"TOTAL",H9:H18)</f>
        <v>84</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LvOuP8Ul6Qla3NgF6K+2ukRjVb8OAYRQh1ts6yRqsXOMBa2BgfHy7LNrt10/rBBkqAiMwBJdsFS/lcBO/e+Muw==" saltValue="MQ+oHeG0gGnIjPJ9dtqax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hU+FalSe4Uf542uOg6X+QvcKQh8s739sc/LJgckvZ8RrGpSQrz7Mc+rtB29Ha2GZ8O4BrGZPLcqxLWXxR8mEzw==" saltValue="vrkBGBpEOWMWnKeeCRht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148</v>
      </c>
      <c r="J10" s="181">
        <v>15</v>
      </c>
      <c r="K10" s="181">
        <v>38</v>
      </c>
      <c r="L10" s="181">
        <v>125</v>
      </c>
      <c r="M10" s="181">
        <v>21</v>
      </c>
      <c r="N10" s="181">
        <v>4</v>
      </c>
      <c r="O10" s="181">
        <v>0</v>
      </c>
      <c r="P10" s="181">
        <v>2</v>
      </c>
      <c r="Q10" s="181">
        <v>11</v>
      </c>
      <c r="R10" s="181">
        <v>46</v>
      </c>
      <c r="S10" s="181">
        <v>205</v>
      </c>
      <c r="T10" s="181">
        <v>21</v>
      </c>
      <c r="U10" s="181">
        <v>27</v>
      </c>
      <c r="V10" s="181">
        <v>199</v>
      </c>
      <c r="W10" s="181">
        <v>16</v>
      </c>
      <c r="X10" s="188">
        <v>10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205</v>
      </c>
      <c r="AZ10" s="129">
        <f t="shared" si="0"/>
        <v>21</v>
      </c>
      <c r="BA10" s="129">
        <f t="shared" si="0"/>
        <v>27</v>
      </c>
      <c r="BB10" s="129">
        <f t="shared" si="0"/>
        <v>199</v>
      </c>
      <c r="BC10" s="125">
        <f t="shared" si="0"/>
        <v>16</v>
      </c>
      <c r="BD10" s="126">
        <f>IF(ISNUMBER(BA10/AZ10),BA10/AZ10," - ")</f>
        <v>1.2857142857142858</v>
      </c>
      <c r="BE10" s="127">
        <f>IF(ISNUMBER(BB10/BA10),BB10/BA10, " - ")</f>
        <v>7.3703703703703702</v>
      </c>
      <c r="BF10" s="127">
        <f>IF(ISNUMBER(BC10/BA10),BC10/BA10, " - ")</f>
        <v>0.59259259259259256</v>
      </c>
      <c r="BG10" s="196">
        <f>IF(ISNUMBER((AY10+AZ10)/BA10),(AY10+AZ10)/BA10," - ")</f>
        <v>8.3703703703703702</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7802</v>
      </c>
      <c r="J12" s="183">
        <v>1741</v>
      </c>
      <c r="K12" s="183">
        <v>1941</v>
      </c>
      <c r="L12" s="183">
        <v>7514</v>
      </c>
      <c r="M12" s="183">
        <v>516</v>
      </c>
      <c r="N12" s="183">
        <v>838</v>
      </c>
      <c r="O12" s="181">
        <v>711</v>
      </c>
      <c r="P12" s="183">
        <v>478</v>
      </c>
      <c r="Q12" s="183">
        <v>863</v>
      </c>
      <c r="R12" s="183">
        <v>8785</v>
      </c>
      <c r="S12" s="183">
        <v>5238</v>
      </c>
      <c r="T12" s="183">
        <v>1890</v>
      </c>
      <c r="U12" s="183">
        <v>1771</v>
      </c>
      <c r="V12" s="183">
        <v>5766</v>
      </c>
      <c r="W12" s="183">
        <v>418</v>
      </c>
      <c r="X12" s="189">
        <v>527</v>
      </c>
      <c r="Y12" s="191">
        <v>97</v>
      </c>
      <c r="Z12" s="181">
        <v>60</v>
      </c>
      <c r="AA12" s="181">
        <v>53</v>
      </c>
      <c r="AB12" s="181">
        <v>104</v>
      </c>
      <c r="AC12" s="183">
        <v>0</v>
      </c>
      <c r="AD12" s="183">
        <v>0</v>
      </c>
      <c r="AE12" s="183">
        <v>0</v>
      </c>
      <c r="AF12" s="189">
        <v>0</v>
      </c>
      <c r="AG12" s="202">
        <v>94</v>
      </c>
      <c r="AH12" s="183">
        <v>54</v>
      </c>
      <c r="AI12" s="183">
        <v>52</v>
      </c>
      <c r="AJ12" s="203">
        <v>96</v>
      </c>
      <c r="AK12" s="182">
        <v>0</v>
      </c>
      <c r="AL12" s="183">
        <v>0</v>
      </c>
      <c r="AM12" s="183">
        <v>0</v>
      </c>
      <c r="AN12" s="189">
        <v>0</v>
      </c>
      <c r="AO12" s="259">
        <v>7</v>
      </c>
      <c r="AP12" s="155">
        <v>7</v>
      </c>
      <c r="AQ12" s="155">
        <v>7</v>
      </c>
      <c r="AR12" s="154">
        <v>7</v>
      </c>
      <c r="AS12" s="340" t="s">
        <v>794</v>
      </c>
      <c r="AT12" s="203"/>
      <c r="AU12" s="202"/>
      <c r="AV12" s="203"/>
      <c r="AW12" s="202"/>
      <c r="AX12" s="203"/>
      <c r="AY12" s="126">
        <f t="shared" si="1"/>
        <v>5332</v>
      </c>
      <c r="AZ12" s="127">
        <f t="shared" si="1"/>
        <v>1944</v>
      </c>
      <c r="BA12" s="127">
        <f t="shared" si="1"/>
        <v>1823</v>
      </c>
      <c r="BB12" s="127">
        <f t="shared" si="1"/>
        <v>5862</v>
      </c>
      <c r="BC12" s="125">
        <f>IF(ISNUMBER(X12),X12," - ")</f>
        <v>527</v>
      </c>
      <c r="BD12" s="126">
        <f t="shared" si="2"/>
        <v>0.93775720164609055</v>
      </c>
      <c r="BE12" s="127">
        <f t="shared" si="3"/>
        <v>3.2155787164015361</v>
      </c>
      <c r="BF12" s="127">
        <f t="shared" si="4"/>
        <v>0.28908392759188151</v>
      </c>
      <c r="BG12" s="196">
        <f t="shared" si="5"/>
        <v>3.991223258365332</v>
      </c>
      <c r="BH12" s="155">
        <v>7</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7950</v>
      </c>
      <c r="J13" s="184">
        <f t="shared" si="6"/>
        <v>1756</v>
      </c>
      <c r="K13" s="184">
        <f t="shared" si="6"/>
        <v>1979</v>
      </c>
      <c r="L13" s="184">
        <f t="shared" si="6"/>
        <v>7639</v>
      </c>
      <c r="M13" s="184">
        <f t="shared" si="6"/>
        <v>537</v>
      </c>
      <c r="N13" s="184">
        <f t="shared" si="6"/>
        <v>842</v>
      </c>
      <c r="O13" s="184">
        <f t="shared" si="6"/>
        <v>711</v>
      </c>
      <c r="P13" s="184">
        <f t="shared" si="6"/>
        <v>480</v>
      </c>
      <c r="Q13" s="184">
        <f t="shared" si="6"/>
        <v>874</v>
      </c>
      <c r="R13" s="184">
        <f t="shared" si="6"/>
        <v>8831</v>
      </c>
      <c r="S13" s="184">
        <f t="shared" si="6"/>
        <v>5443</v>
      </c>
      <c r="T13" s="184">
        <f t="shared" si="6"/>
        <v>1911</v>
      </c>
      <c r="U13" s="184">
        <f t="shared" si="6"/>
        <v>1798</v>
      </c>
      <c r="V13" s="184">
        <f t="shared" si="6"/>
        <v>5965</v>
      </c>
      <c r="W13" s="184">
        <f t="shared" si="6"/>
        <v>434</v>
      </c>
      <c r="X13" s="184">
        <f t="shared" si="6"/>
        <v>537</v>
      </c>
      <c r="Y13" s="184">
        <f t="shared" si="6"/>
        <v>97</v>
      </c>
      <c r="Z13" s="184">
        <f t="shared" si="6"/>
        <v>60</v>
      </c>
      <c r="AA13" s="184">
        <f t="shared" si="6"/>
        <v>53</v>
      </c>
      <c r="AB13" s="184">
        <f t="shared" si="6"/>
        <v>104</v>
      </c>
      <c r="AC13" s="184">
        <f t="shared" si="6"/>
        <v>0</v>
      </c>
      <c r="AD13" s="184">
        <f t="shared" si="6"/>
        <v>0</v>
      </c>
      <c r="AE13" s="184">
        <f t="shared" si="6"/>
        <v>0</v>
      </c>
      <c r="AF13" s="184">
        <f>SUBTOTAL(9,AF9:AF12)</f>
        <v>0</v>
      </c>
      <c r="AG13" s="184">
        <f t="shared" ref="AG13:AT13" si="7">SUBTOTAL(9,AG8:AG12)</f>
        <v>94</v>
      </c>
      <c r="AH13" s="184">
        <f t="shared" si="7"/>
        <v>54</v>
      </c>
      <c r="AI13" s="184">
        <f t="shared" si="7"/>
        <v>52</v>
      </c>
      <c r="AJ13" s="184">
        <f t="shared" si="7"/>
        <v>96</v>
      </c>
      <c r="AK13" s="184">
        <f t="shared" si="7"/>
        <v>0</v>
      </c>
      <c r="AL13" s="184">
        <f t="shared" si="7"/>
        <v>0</v>
      </c>
      <c r="AM13" s="184">
        <f t="shared" si="7"/>
        <v>0</v>
      </c>
      <c r="AN13" s="184">
        <f t="shared" si="7"/>
        <v>0</v>
      </c>
      <c r="AO13" s="184">
        <f t="shared" si="7"/>
        <v>8</v>
      </c>
      <c r="AP13" s="184">
        <f t="shared" si="7"/>
        <v>7</v>
      </c>
      <c r="AQ13" s="184">
        <f t="shared" si="7"/>
        <v>7</v>
      </c>
      <c r="AR13" s="184">
        <f t="shared" si="7"/>
        <v>7</v>
      </c>
      <c r="AS13" s="184">
        <f t="shared" si="7"/>
        <v>0</v>
      </c>
      <c r="AT13" s="184">
        <f t="shared" si="7"/>
        <v>0</v>
      </c>
      <c r="AU13" s="204"/>
      <c r="AV13" s="132"/>
      <c r="AW13" s="204"/>
      <c r="AX13" s="132"/>
      <c r="AY13" s="184">
        <f>SUBTOTAL(9,AY8:AY12)</f>
        <v>5537</v>
      </c>
      <c r="AZ13" s="184">
        <f>SUBTOTAL(9,AZ8:AZ12)</f>
        <v>1965</v>
      </c>
      <c r="BA13" s="184">
        <f>SUBTOTAL(9,BA8:BA12)</f>
        <v>1850</v>
      </c>
      <c r="BB13" s="184">
        <f>SUBTOTAL(9,BB8:BB12)</f>
        <v>6061</v>
      </c>
      <c r="BC13" s="184">
        <f>SUBTOTAL(9,BC8:BC12)</f>
        <v>543</v>
      </c>
      <c r="BD13" s="205">
        <f>IF(ISNUMBER(BA13/AZ13),BA13/AZ13," - ")</f>
        <v>0.94147582697201015</v>
      </c>
      <c r="BE13" s="206">
        <f>IF(ISNUMBER(BB13/BA13),BB13/BA13, " - ")</f>
        <v>3.2762162162162163</v>
      </c>
      <c r="BF13" s="206">
        <f>IF(ISNUMBER(BC13/BA13),BC13/BA13, " - ")</f>
        <v>0.29351351351351351</v>
      </c>
      <c r="BG13" s="207">
        <f>IF(ISNUMBER((AY13+AZ13)/BA13),(AY13+AZ13)/BA13," - ")</f>
        <v>4.055135135135135</v>
      </c>
      <c r="BH13" s="140">
        <f>SUBTOTAL(9,BH8:BH12)</f>
        <v>8</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2848</v>
      </c>
      <c r="J16" s="183">
        <v>1807</v>
      </c>
      <c r="K16" s="183">
        <v>1629</v>
      </c>
      <c r="L16" s="183">
        <v>3027</v>
      </c>
      <c r="M16" s="183">
        <v>279</v>
      </c>
      <c r="N16" s="183">
        <v>1078</v>
      </c>
      <c r="O16" s="181">
        <v>22</v>
      </c>
      <c r="P16" s="183">
        <v>45</v>
      </c>
      <c r="Q16" s="183">
        <v>50</v>
      </c>
      <c r="R16" s="183">
        <v>276</v>
      </c>
      <c r="S16" s="183">
        <v>2022</v>
      </c>
      <c r="T16" s="183">
        <v>1835</v>
      </c>
      <c r="U16" s="183">
        <v>1536</v>
      </c>
      <c r="V16" s="183">
        <v>2453</v>
      </c>
      <c r="W16" s="183">
        <v>252</v>
      </c>
      <c r="X16" s="189">
        <v>904</v>
      </c>
      <c r="Y16" s="202">
        <v>0</v>
      </c>
      <c r="Z16" s="183">
        <v>0</v>
      </c>
      <c r="AA16" s="183">
        <v>0</v>
      </c>
      <c r="AB16" s="183">
        <v>0</v>
      </c>
      <c r="AC16" s="183">
        <v>0</v>
      </c>
      <c r="AD16" s="183">
        <v>0</v>
      </c>
      <c r="AE16" s="183">
        <v>0</v>
      </c>
      <c r="AF16" s="189">
        <v>0</v>
      </c>
      <c r="AG16" s="202">
        <v>0</v>
      </c>
      <c r="AH16" s="183">
        <v>0</v>
      </c>
      <c r="AI16" s="183">
        <v>0</v>
      </c>
      <c r="AJ16" s="203">
        <v>0</v>
      </c>
      <c r="AK16" s="182">
        <v>0</v>
      </c>
      <c r="AL16" s="183">
        <v>4</v>
      </c>
      <c r="AM16" s="183">
        <v>4</v>
      </c>
      <c r="AN16" s="189">
        <v>0</v>
      </c>
      <c r="AO16" s="259">
        <v>7</v>
      </c>
      <c r="AP16" s="155">
        <v>7</v>
      </c>
      <c r="AQ16" s="155">
        <v>7</v>
      </c>
      <c r="AR16" s="155">
        <v>7</v>
      </c>
      <c r="AS16" s="340" t="s">
        <v>487</v>
      </c>
      <c r="AT16" s="203"/>
      <c r="AU16" s="202"/>
      <c r="AV16" s="203"/>
      <c r="AW16" s="202"/>
      <c r="AX16" s="203"/>
      <c r="AY16" s="126">
        <f t="shared" si="9"/>
        <v>2022</v>
      </c>
      <c r="AZ16" s="127">
        <f t="shared" si="9"/>
        <v>1835</v>
      </c>
      <c r="BA16" s="127">
        <f t="shared" si="9"/>
        <v>1536</v>
      </c>
      <c r="BB16" s="127">
        <f t="shared" si="9"/>
        <v>2453</v>
      </c>
      <c r="BC16" s="125">
        <f>IF(ISNUMBER(W16),W16," - ")</f>
        <v>252</v>
      </c>
      <c r="BD16" s="126">
        <f t="shared" ref="BD16" si="11">IF(ISNUMBER(BA16/AZ16),BA16/AZ16," - ")</f>
        <v>0.8370572207084469</v>
      </c>
      <c r="BE16" s="127">
        <f t="shared" ref="BE16" si="12">IF(ISNUMBER(BB16/BA16),BB16/BA16, " - ")</f>
        <v>1.5970052083333333</v>
      </c>
      <c r="BF16" s="127">
        <f t="shared" ref="BF16" si="13">IF(ISNUMBER(BC16/BA16),BC16/BA16, " - ")</f>
        <v>0.1640625</v>
      </c>
      <c r="BG16" s="196">
        <f t="shared" si="10"/>
        <v>2.5110677083333335</v>
      </c>
      <c r="BH16" s="155">
        <v>7</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118</v>
      </c>
      <c r="J17" s="183">
        <v>7</v>
      </c>
      <c r="K17" s="183">
        <v>41</v>
      </c>
      <c r="L17" s="183">
        <v>84</v>
      </c>
      <c r="M17" s="183">
        <v>0</v>
      </c>
      <c r="N17" s="183">
        <v>15</v>
      </c>
      <c r="O17" s="183">
        <v>0</v>
      </c>
      <c r="P17" s="183">
        <v>0</v>
      </c>
      <c r="Q17" s="183">
        <v>0</v>
      </c>
      <c r="R17" s="183">
        <v>0</v>
      </c>
      <c r="S17" s="183">
        <v>236</v>
      </c>
      <c r="T17" s="183">
        <v>19</v>
      </c>
      <c r="U17" s="183">
        <v>51</v>
      </c>
      <c r="V17" s="183">
        <v>204</v>
      </c>
      <c r="W17" s="183">
        <v>0</v>
      </c>
      <c r="X17" s="189">
        <v>13</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236</v>
      </c>
      <c r="AZ17" s="129">
        <f t="shared" si="14"/>
        <v>19</v>
      </c>
      <c r="BA17" s="129">
        <f t="shared" si="14"/>
        <v>51</v>
      </c>
      <c r="BB17" s="129">
        <f t="shared" si="14"/>
        <v>204</v>
      </c>
      <c r="BC17" s="125">
        <f>IF(ISNUMBER(W17),W17," - ")</f>
        <v>0</v>
      </c>
      <c r="BD17" s="126">
        <f>IF(ISNUMBER(BA17/AZ17),BA17/AZ17," - ")</f>
        <v>2.6842105263157894</v>
      </c>
      <c r="BE17" s="127">
        <f>IF(ISNUMBER(BB17/BA17),BB17/BA17, " - ")</f>
        <v>4</v>
      </c>
      <c r="BF17" s="127">
        <f>IF(ISNUMBER(BC17/BA17),BC17/BA17, " - ")</f>
        <v>0</v>
      </c>
      <c r="BG17" s="196">
        <f>IF(ISNUMBER((AY17+AZ17)/BA17),(AY17+AZ17)/BA17," - ")</f>
        <v>5</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2966</v>
      </c>
      <c r="J18" s="184">
        <f t="shared" si="15"/>
        <v>1814</v>
      </c>
      <c r="K18" s="184">
        <f t="shared" si="15"/>
        <v>1670</v>
      </c>
      <c r="L18" s="184">
        <f t="shared" si="15"/>
        <v>3111</v>
      </c>
      <c r="M18" s="184">
        <f t="shared" si="15"/>
        <v>279</v>
      </c>
      <c r="N18" s="184">
        <f t="shared" si="15"/>
        <v>1093</v>
      </c>
      <c r="O18" s="184">
        <f t="shared" si="15"/>
        <v>22</v>
      </c>
      <c r="P18" s="184">
        <f t="shared" si="15"/>
        <v>45</v>
      </c>
      <c r="Q18" s="184">
        <f t="shared" si="15"/>
        <v>50</v>
      </c>
      <c r="R18" s="184">
        <f t="shared" si="15"/>
        <v>276</v>
      </c>
      <c r="S18" s="184">
        <f t="shared" si="15"/>
        <v>2258</v>
      </c>
      <c r="T18" s="184">
        <f t="shared" si="15"/>
        <v>1854</v>
      </c>
      <c r="U18" s="184">
        <f t="shared" si="15"/>
        <v>1587</v>
      </c>
      <c r="V18" s="184">
        <f t="shared" si="15"/>
        <v>2657</v>
      </c>
      <c r="W18" s="184">
        <f t="shared" si="15"/>
        <v>252</v>
      </c>
      <c r="X18" s="184">
        <f t="shared" si="15"/>
        <v>917</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4</v>
      </c>
      <c r="AM18" s="184">
        <f t="shared" si="15"/>
        <v>4</v>
      </c>
      <c r="AN18" s="184">
        <f t="shared" si="15"/>
        <v>0</v>
      </c>
      <c r="AO18" s="184">
        <f t="shared" si="15"/>
        <v>8</v>
      </c>
      <c r="AP18" s="184">
        <f t="shared" si="15"/>
        <v>7</v>
      </c>
      <c r="AQ18" s="184">
        <f t="shared" si="15"/>
        <v>7</v>
      </c>
      <c r="AR18" s="184">
        <f t="shared" si="15"/>
        <v>7</v>
      </c>
      <c r="AS18" s="184">
        <f t="shared" si="15"/>
        <v>0</v>
      </c>
      <c r="AT18" s="184">
        <f t="shared" si="15"/>
        <v>0</v>
      </c>
      <c r="AU18" s="204"/>
      <c r="AV18" s="132"/>
      <c r="AW18" s="204"/>
      <c r="AX18" s="132"/>
      <c r="AY18" s="184">
        <f>SUBTOTAL(9,AY14:AY17)</f>
        <v>2258</v>
      </c>
      <c r="AZ18" s="184">
        <f>SUBTOTAL(9,AZ14:AZ17)</f>
        <v>1854</v>
      </c>
      <c r="BA18" s="184">
        <f>SUBTOTAL(9,BA14:BA17)</f>
        <v>1587</v>
      </c>
      <c r="BB18" s="184">
        <f>SUBTOTAL(9,BB14:BB17)</f>
        <v>2657</v>
      </c>
      <c r="BC18" s="184">
        <f>SUBTOTAL(9,BC14:BC17)</f>
        <v>252</v>
      </c>
      <c r="BD18" s="205">
        <f>IF(ISNUMBER(BA18/AZ18),BA18/AZ18," - ")</f>
        <v>0.85598705501618122</v>
      </c>
      <c r="BE18" s="206">
        <f>IF(ISNUMBER(BB18/BA18),BB18/BA18, " - ")</f>
        <v>1.6742281033396345</v>
      </c>
      <c r="BF18" s="206">
        <f>IF(ISNUMBER(BC18/BA18),BC18/BA18, " - ")</f>
        <v>0.15879017013232513</v>
      </c>
      <c r="BG18" s="207">
        <f>IF(ISNUMBER((AY18+AZ18)/BA18),(AY18+AZ18)/BA18," - ")</f>
        <v>2.591052299936988</v>
      </c>
      <c r="BH18" s="184">
        <f>SUBTOTAL(9,BH14:BH17)</f>
        <v>8</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10916</v>
      </c>
      <c r="J19" s="134">
        <f t="shared" si="18"/>
        <v>3570</v>
      </c>
      <c r="K19" s="134">
        <f t="shared" si="18"/>
        <v>3649</v>
      </c>
      <c r="L19" s="134">
        <f t="shared" si="18"/>
        <v>10750</v>
      </c>
      <c r="M19" s="134">
        <f t="shared" si="18"/>
        <v>816</v>
      </c>
      <c r="N19" s="134">
        <f t="shared" si="18"/>
        <v>1935</v>
      </c>
      <c r="O19" s="134">
        <f t="shared" si="18"/>
        <v>733</v>
      </c>
      <c r="P19" s="134">
        <f t="shared" si="18"/>
        <v>525</v>
      </c>
      <c r="Q19" s="134">
        <f t="shared" si="18"/>
        <v>924</v>
      </c>
      <c r="R19" s="134">
        <f t="shared" si="18"/>
        <v>9107</v>
      </c>
      <c r="S19" s="134">
        <f t="shared" si="18"/>
        <v>7701</v>
      </c>
      <c r="T19" s="134">
        <f t="shared" si="18"/>
        <v>3765</v>
      </c>
      <c r="U19" s="134">
        <f t="shared" si="18"/>
        <v>3385</v>
      </c>
      <c r="V19" s="134">
        <f t="shared" si="18"/>
        <v>8622</v>
      </c>
      <c r="W19" s="134">
        <f t="shared" si="18"/>
        <v>686</v>
      </c>
      <c r="X19" s="134">
        <f t="shared" si="18"/>
        <v>1454</v>
      </c>
      <c r="Y19" s="134">
        <f t="shared" si="18"/>
        <v>97</v>
      </c>
      <c r="Z19" s="134">
        <f t="shared" si="18"/>
        <v>60</v>
      </c>
      <c r="AA19" s="134">
        <f t="shared" si="18"/>
        <v>53</v>
      </c>
      <c r="AB19" s="134">
        <f t="shared" si="18"/>
        <v>104</v>
      </c>
      <c r="AC19" s="134">
        <f t="shared" si="18"/>
        <v>0</v>
      </c>
      <c r="AD19" s="134">
        <f t="shared" si="18"/>
        <v>0</v>
      </c>
      <c r="AE19" s="134">
        <f t="shared" si="18"/>
        <v>0</v>
      </c>
      <c r="AF19" s="134">
        <f t="shared" si="18"/>
        <v>0</v>
      </c>
      <c r="AG19" s="134">
        <f t="shared" si="18"/>
        <v>94</v>
      </c>
      <c r="AH19" s="134">
        <f t="shared" si="18"/>
        <v>54</v>
      </c>
      <c r="AI19" s="134">
        <f t="shared" si="18"/>
        <v>52</v>
      </c>
      <c r="AJ19" s="134">
        <f t="shared" si="18"/>
        <v>96</v>
      </c>
      <c r="AK19" s="134">
        <f t="shared" si="18"/>
        <v>0</v>
      </c>
      <c r="AL19" s="134">
        <f t="shared" si="18"/>
        <v>4</v>
      </c>
      <c r="AM19" s="134">
        <f t="shared" si="18"/>
        <v>4</v>
      </c>
      <c r="AN19" s="210">
        <f t="shared" si="18"/>
        <v>0</v>
      </c>
      <c r="AO19" s="211">
        <v>8</v>
      </c>
      <c r="AP19" s="211">
        <v>7</v>
      </c>
      <c r="AQ19" s="211">
        <v>7</v>
      </c>
      <c r="AR19" s="211">
        <v>7</v>
      </c>
      <c r="AS19" s="153">
        <f t="shared" si="18"/>
        <v>0</v>
      </c>
      <c r="AT19" s="153">
        <f t="shared" si="18"/>
        <v>0</v>
      </c>
      <c r="AU19" s="211"/>
      <c r="AV19" s="212"/>
      <c r="AW19" s="211"/>
      <c r="AX19" s="212"/>
      <c r="AY19" s="133">
        <f>SUBTOTAL(9,AY9:AY18)</f>
        <v>7795</v>
      </c>
      <c r="AZ19" s="134">
        <f>SUBTOTAL(9,AZ9:AZ18)</f>
        <v>3819</v>
      </c>
      <c r="BA19" s="134">
        <f>SUBTOTAL(9,BA9:BA18)</f>
        <v>3437</v>
      </c>
      <c r="BB19" s="134">
        <f>SUBTOTAL(9,BB9:BB18)</f>
        <v>8718</v>
      </c>
      <c r="BC19" s="135">
        <f>SUBTOTAL(9,BC9:BC18)</f>
        <v>795</v>
      </c>
      <c r="BD19" s="213">
        <f>IF(ISNUMBER(BA19/AZ19),BA19/AZ19," - ")</f>
        <v>0.89997381513485208</v>
      </c>
      <c r="BE19" s="210">
        <f>IF(ISNUMBER(BB19/BA19),BB19/BA19, " - ")</f>
        <v>2.5365144020948502</v>
      </c>
      <c r="BF19" s="210">
        <f>IF(ISNUMBER(BC19/BA19),BC19/BA19, " - ")</f>
        <v>0.23130637183590341</v>
      </c>
      <c r="BG19" s="135">
        <f>IF(ISNUMBER((AY19+AZ19)/BA19),(AY19+AZ19)/BA19," - ")</f>
        <v>3.3791096886819902</v>
      </c>
      <c r="BH19" s="211">
        <f>SUBTOTAL(9,BH9:BH18)</f>
        <v>16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2I4FCjCJac6o0LuG0R9sMfbkQukxwBQ6cMuVSCX8M1FmTeyMukzkzlfWDWsaHLzo2XJ3oXflkbHSpmDZuN3bQ==" saltValue="PqgGpcGZnQ5KgBtAsqm8y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0VdG1aAN69ZV4dMW0401BNX49BXeEhtTaOw4B7moLBb9b06Sptdly53BLuLj/eHQr1HKzQLUcD1URZgVs0Rnw==" saltValue="uRHVdxGa8okmg8U8TtmMY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ALMERIA  Resumenes por Partidos Judiciales  ROQUETAS DE MAR</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148</v>
      </c>
      <c r="G10" s="333">
        <f>IF(ISNUMBER(Datos!I10),Datos!I10," - ")</f>
        <v>148</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38</v>
      </c>
      <c r="AC10" s="226">
        <f>IF(ISNUMBER(Datos!Q10),Datos!Q10," - ")</f>
        <v>11</v>
      </c>
      <c r="AD10" s="334"/>
      <c r="AE10" s="484"/>
      <c r="AF10" s="332">
        <f>IF(ISNUMBER(Datos!L10),Datos!L10,"-")</f>
        <v>125</v>
      </c>
      <c r="AG10" s="334"/>
      <c r="AH10" s="334"/>
      <c r="AI10" s="334"/>
      <c r="AJ10" s="334"/>
      <c r="AK10" s="334"/>
      <c r="AL10" s="479"/>
      <c r="AM10" s="335">
        <f>IF(ISNUMBER(Datos!R10),Datos!R10," - ")</f>
        <v>46</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21</v>
      </c>
      <c r="BD10" s="229">
        <f>IF(ISNUMBER(Datos!N10),Datos!N10," - ")</f>
        <v>4</v>
      </c>
      <c r="BE10" s="229" t="str">
        <f>IF(ISNUMBER(Datos!BW10),Datos!BW10," - ")</f>
        <v xml:space="preserve"> - </v>
      </c>
      <c r="BF10" s="228" t="str">
        <f>IF(ISNUMBER(Datos!BX10),Datos!BX10," - ")</f>
        <v xml:space="preserve"> - </v>
      </c>
      <c r="BG10" s="243">
        <f>IF(ISNUMBER(Datos!K10/Datos!J10),Datos!K10/Datos!J10," - ")</f>
        <v>2.5333333333333332</v>
      </c>
      <c r="BH10" s="260">
        <f>IF(ISNUMBER(((Datos!L10/Datos!K10)*11)/factor_trimestre),((Datos!L10/Datos!K10)*11)/factor_trimestre," - ")</f>
        <v>9.8684210526315788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-0.16363636363636364</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7</v>
      </c>
      <c r="B12" s="507" t="s">
        <v>246</v>
      </c>
      <c r="C12" s="7" t="str">
        <f>Datos!A12</f>
        <v xml:space="preserve">Jdos. 1ª Instª. e Instr.                        </v>
      </c>
      <c r="D12" s="508"/>
      <c r="E12" s="260">
        <f>IF(ISNUMBER(Datos!AQ12),Datos!AQ12," - ")</f>
        <v>7</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60</v>
      </c>
      <c r="O12" s="334"/>
      <c r="P12" s="334"/>
      <c r="Q12" s="226">
        <f>IF(ISNUMBER(Datos!P12),Datos!P12,0)</f>
        <v>478</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863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104</v>
      </c>
      <c r="AI12" s="334" t="str">
        <f>IF(ISNUMBER(Datos!CD12),Datos!CD12,"-")</f>
        <v>-</v>
      </c>
      <c r="AJ12" s="334" t="str">
        <f>IF(ISNUMBER(Datos!EN12),Datos!EN12," - ")</f>
        <v xml:space="preserve"> - </v>
      </c>
      <c r="AK12" s="334"/>
      <c r="AL12" s="479"/>
      <c r="AM12" s="335">
        <f>IF(ISNUMBER(Datos!R12),Datos!R12," - ")</f>
        <v>8785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516</v>
      </c>
      <c r="BD12" s="229">
        <f>IF(ISNUMBER(Datos!N12),Datos!N12," - ")</f>
        <v>838</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1.1071626873958911</v>
      </c>
      <c r="BH12" s="260">
        <f>IF(ISNUMBER(((IF(J_V="SI",Datos!L12/Datos!K12,(Datos!L12+Datos!AB12)/(Datos!K12+Datos!AA12)))*11)/factor_trimestre),((IF(J_V="SI",Datos!L12/Datos!K12,(Datos!L12+Datos!AB12)/(Datos!K12+Datos!AA12)))*11)/factor_trimestre," - ")</f>
        <v>11.461384152457372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-4.1984732824427481E-2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7</v>
      </c>
      <c r="F13" s="898">
        <f t="shared" si="0"/>
        <v>148</v>
      </c>
      <c r="G13" s="898">
        <f t="shared" si="0"/>
        <v>148</v>
      </c>
      <c r="H13" s="899">
        <f t="shared" si="0"/>
        <v>0</v>
      </c>
      <c r="I13" s="898">
        <f t="shared" si="0"/>
        <v>0</v>
      </c>
      <c r="J13" s="867">
        <f t="shared" si="0"/>
        <v>0</v>
      </c>
      <c r="K13" s="867">
        <f t="shared" si="0"/>
        <v>0</v>
      </c>
      <c r="L13" s="899">
        <f t="shared" si="0"/>
        <v>0</v>
      </c>
      <c r="M13" s="899">
        <f t="shared" si="0"/>
        <v>0</v>
      </c>
      <c r="N13" s="899">
        <f t="shared" si="0"/>
        <v>60</v>
      </c>
      <c r="O13" s="900">
        <f t="shared" si="0"/>
        <v>0</v>
      </c>
      <c r="P13" s="900">
        <f t="shared" si="0"/>
        <v>0</v>
      </c>
      <c r="Q13" s="899">
        <f t="shared" si="0"/>
        <v>480</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38</v>
      </c>
      <c r="AC13" s="899">
        <f t="shared" si="1"/>
        <v>874</v>
      </c>
      <c r="AD13" s="899">
        <f t="shared" si="1"/>
        <v>0</v>
      </c>
      <c r="AE13" s="899">
        <f t="shared" si="1"/>
        <v>0</v>
      </c>
      <c r="AF13" s="899">
        <f t="shared" si="1"/>
        <v>125</v>
      </c>
      <c r="AG13" s="899">
        <f t="shared" si="1"/>
        <v>0</v>
      </c>
      <c r="AH13" s="899">
        <f t="shared" si="1"/>
        <v>104</v>
      </c>
      <c r="AI13" s="899">
        <f t="shared" si="1"/>
        <v>0</v>
      </c>
      <c r="AJ13" s="899">
        <f t="shared" si="1"/>
        <v>0</v>
      </c>
      <c r="AK13" s="899">
        <f t="shared" si="1"/>
        <v>0</v>
      </c>
      <c r="AL13" s="899">
        <f t="shared" si="1"/>
        <v>0</v>
      </c>
      <c r="AM13" s="899">
        <f t="shared" si="1"/>
        <v>8831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537</v>
      </c>
      <c r="BD13" s="899">
        <f t="shared" si="1"/>
        <v>842</v>
      </c>
      <c r="BE13" s="899">
        <f t="shared" si="1"/>
        <v>0</v>
      </c>
      <c r="BF13" s="899">
        <f t="shared" si="1"/>
        <v>0</v>
      </c>
      <c r="BG13" s="899">
        <f>IF(ISNUMBER(Datos!K13/Datos!J13),Datos!K13/Datos!J13," - ")</f>
        <v>1.1269931662870158</v>
      </c>
      <c r="BH13" s="903">
        <f>IF(ISNUMBER(((Datos!L13/Datos!K13)*11)/factor_trimestre),((Datos!L13/Datos!K13)*11)/factor_trimestre," - ")</f>
        <v>11.580090955027792</v>
      </c>
      <c r="BI13" s="899">
        <f>IF(ISNUMBER('Resol  Asuntos'!D13/NºAsuntos!G13),'Resol  Asuntos'!D13/NºAsuntos!G13," - ")</f>
        <v>0.26427165354330706</v>
      </c>
      <c r="BJ13" s="899" t="str">
        <f>IF(ISNUMBER(Datos!CI13/Datos!CJ13),Datos!CI13/Datos!CJ13," - ")</f>
        <v xml:space="preserve"> - </v>
      </c>
      <c r="BK13" s="899">
        <f>SUBTOTAL(9,BK8:BK12)</f>
        <v>0</v>
      </c>
      <c r="BL13" s="899">
        <f>IF(ISNUMBER((I13-AB13+L13)/(F13)),(I13-AB13+L13)/(F13)," - ")</f>
        <v>-0.25675675675675674</v>
      </c>
      <c r="BM13" s="904">
        <f>SUBTOTAL(9,BM9:BM12)</f>
        <v>-0.20562109646079113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7</v>
      </c>
      <c r="B16" s="594" t="s">
        <v>396</v>
      </c>
      <c r="C16" s="600" t="str">
        <f>Datos!A16</f>
        <v xml:space="preserve">Jdos. 1ª Instª. e Instr.                        </v>
      </c>
      <c r="D16" s="601"/>
      <c r="E16" s="1165">
        <f>IF(ISNUMBER(Datos!AQ16),Datos!AQ16," - ")</f>
        <v>7</v>
      </c>
      <c r="F16" s="595">
        <f>IF(ISNUMBER(AF16+AB16-Datos!J16-L16),AF16+AB16-Datos!J16-L16," - ")</f>
        <v>2849</v>
      </c>
      <c r="G16" s="598">
        <f>IF(ISNUMBER(IF(D_I="SI",Datos!I16,Datos!I16+Datos!AC16)),IF(D_I="SI",Datos!I16,Datos!I16+Datos!AC16)," - ")</f>
        <v>2848</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45</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1629</v>
      </c>
      <c r="AC16" s="226">
        <f>IF(ISNUMBER(Datos!Q16),Datos!Q16," - ")</f>
        <v>50</v>
      </c>
      <c r="AD16" s="334"/>
      <c r="AE16" s="484"/>
      <c r="AF16" s="596">
        <f>IF(ISNUMBER(IF(D_I="SI",Datos!L16,Datos!L16+Datos!AF16)),IF(D_I="SI",Datos!L16,Datos!L16+Datos!AF16)," - ")</f>
        <v>3027</v>
      </c>
      <c r="AG16" s="334"/>
      <c r="AH16" s="334"/>
      <c r="AI16" s="334"/>
      <c r="AJ16" s="334"/>
      <c r="AK16" s="334"/>
      <c r="AL16" s="479"/>
      <c r="AM16" s="335">
        <f>IF(ISNUMBER(Datos!R16),Datos!R16," - ")</f>
        <v>276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279</v>
      </c>
      <c r="BD16" s="229">
        <f>IF(ISNUMBER(Datos!N16),Datos!N16," - ")</f>
        <v>1078</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0.9014941892639734</v>
      </c>
      <c r="BH16" s="260">
        <f>IF(ISNUMBER(((IF(D_I="SI",Datos!L16/Datos!K16,(Datos!L16+Datos!AF16)/(Datos!K16+Datos!AE16)))*11)/factor_trimestre),((IF(D_I="SI",Datos!L16/Datos!K16,(Datos!L16+Datos!AF16)/(Datos!K16+Datos!AE16)))*11)/factor_trimestre," - ")</f>
        <v>5.5745856353591163</v>
      </c>
      <c r="BI16" s="243">
        <f>IF(ISNUMBER('Resol  Asuntos'!D16/NºAsuntos!G16),'Resol  Asuntos'!D16/NºAsuntos!G16," - ")</f>
        <v>0.17127071823204421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118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41</v>
      </c>
      <c r="AC17" s="226">
        <f>IF(ISNUMBER(Datos!Q17),Datos!Q17," - ")</f>
        <v>0</v>
      </c>
      <c r="AD17" s="334"/>
      <c r="AE17" s="484"/>
      <c r="AF17" s="332">
        <f>IF(ISNUMBER(Datos!L17),Datos!L17,"-")</f>
        <v>84</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15</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5.8571428571428568</v>
      </c>
      <c r="BH17" s="260">
        <f>IF(ISNUMBER(((IF(D_I="SI",Datos!L17/Datos!K17,(Datos!L17+Datos!AF17)/(Datos!K17+Datos!AE17)))*11)/factor_trimestre),((IF(D_I="SI",Datos!L17/Datos!K17,(Datos!L17+Datos!AF17)/(Datos!K17+Datos!AE17)))*11)/factor_trimestre," - ")</f>
        <v>6.1463414634146352</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7</v>
      </c>
      <c r="F18" s="898">
        <f>SUBTOTAL(9,F15:F17)</f>
        <v>2849</v>
      </c>
      <c r="G18" s="898">
        <f>SUBTOTAL(9,G15:G17)</f>
        <v>2966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45</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1670</v>
      </c>
      <c r="AC18" s="899">
        <f t="shared" si="4"/>
        <v>50</v>
      </c>
      <c r="AD18" s="899">
        <f t="shared" si="4"/>
        <v>0</v>
      </c>
      <c r="AE18" s="899">
        <f t="shared" si="4"/>
        <v>0</v>
      </c>
      <c r="AF18" s="899">
        <f t="shared" si="4"/>
        <v>3111</v>
      </c>
      <c r="AG18" s="899">
        <f t="shared" si="4"/>
        <v>0</v>
      </c>
      <c r="AH18" s="899">
        <f t="shared" si="4"/>
        <v>0</v>
      </c>
      <c r="AI18" s="899">
        <f t="shared" si="4"/>
        <v>0</v>
      </c>
      <c r="AJ18" s="899">
        <f t="shared" si="4"/>
        <v>0</v>
      </c>
      <c r="AK18" s="899">
        <f t="shared" si="4"/>
        <v>0</v>
      </c>
      <c r="AL18" s="899">
        <f t="shared" si="4"/>
        <v>0</v>
      </c>
      <c r="AM18" s="899">
        <f t="shared" si="4"/>
        <v>276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279</v>
      </c>
      <c r="BD18" s="899">
        <f t="shared" si="4"/>
        <v>1093</v>
      </c>
      <c r="BE18" s="899">
        <f t="shared" si="4"/>
        <v>0</v>
      </c>
      <c r="BF18" s="899">
        <f t="shared" si="4"/>
        <v>0</v>
      </c>
      <c r="BG18" s="899">
        <f>IF(ISNUMBER(Datos!K18/Datos!J18),Datos!K18/Datos!J18," - ")</f>
        <v>0.9206174200661521</v>
      </c>
      <c r="BH18" s="903">
        <f>IF(ISNUMBER(((Datos!L18/Datos!K18)*11)/factor_trimestre),((Datos!L18/Datos!K18)*11)/factor_trimestre," - ")</f>
        <v>5.588622754491019</v>
      </c>
      <c r="BI18" s="899">
        <f>SUBTOTAL(9,BI15:BI17)</f>
        <v>0.17127071823204421</v>
      </c>
      <c r="BJ18" s="899">
        <f>SUBTOTAL(9,BJ15:BJ17)</f>
        <v>0</v>
      </c>
      <c r="BK18" s="899">
        <f>SUBTOTAL(9,BK15:BK17)</f>
        <v>0</v>
      </c>
      <c r="BL18" s="899">
        <f>IF(ISNUMBER((I18-AB18+L18)/(F18)),(I18-AB18+L18)/(F18)," - ")</f>
        <v>-0.58617058617058615</v>
      </c>
      <c r="BM18" s="905">
        <f>IF(ISNUMBER((Datos!P18-Datos!Q18)/(Datos!R18-Datos!P18+Datos!Q18)),(Datos!P18-Datos!Q18)/(Datos!R18-Datos!P18+Datos!Q18)," - ")</f>
        <v>-1.7793594306049824E-2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14</v>
      </c>
      <c r="F19" s="820">
        <f t="shared" si="6"/>
        <v>2997</v>
      </c>
      <c r="G19" s="820">
        <f t="shared" si="6"/>
        <v>3114</v>
      </c>
      <c r="H19" s="822">
        <f t="shared" si="6"/>
        <v>0</v>
      </c>
      <c r="I19" s="820">
        <f t="shared" si="6"/>
        <v>0</v>
      </c>
      <c r="J19" s="822">
        <f t="shared" si="6"/>
        <v>0</v>
      </c>
      <c r="K19" s="822">
        <f t="shared" si="6"/>
        <v>0</v>
      </c>
      <c r="L19" s="881">
        <f t="shared" si="6"/>
        <v>0</v>
      </c>
      <c r="M19" s="881">
        <f t="shared" si="6"/>
        <v>0</v>
      </c>
      <c r="N19" s="881">
        <f t="shared" si="6"/>
        <v>60</v>
      </c>
      <c r="O19" s="881">
        <f t="shared" si="6"/>
        <v>0</v>
      </c>
      <c r="P19" s="881">
        <f t="shared" si="6"/>
        <v>0</v>
      </c>
      <c r="Q19" s="822">
        <f t="shared" si="6"/>
        <v>525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1708</v>
      </c>
      <c r="AC19" s="821">
        <f t="shared" si="7"/>
        <v>924</v>
      </c>
      <c r="AD19" s="821">
        <f t="shared" si="7"/>
        <v>0</v>
      </c>
      <c r="AE19" s="821">
        <f t="shared" si="7"/>
        <v>0</v>
      </c>
      <c r="AF19" s="828">
        <f t="shared" si="7"/>
        <v>3236</v>
      </c>
      <c r="AG19" s="828">
        <f t="shared" si="7"/>
        <v>0</v>
      </c>
      <c r="AH19" s="828">
        <f t="shared" si="7"/>
        <v>104</v>
      </c>
      <c r="AI19" s="828">
        <f t="shared" si="7"/>
        <v>0</v>
      </c>
      <c r="AJ19" s="821">
        <f t="shared" si="7"/>
        <v>0</v>
      </c>
      <c r="AK19" s="828">
        <f t="shared" si="7"/>
        <v>0</v>
      </c>
      <c r="AL19" s="828">
        <f t="shared" si="7"/>
        <v>0</v>
      </c>
      <c r="AM19" s="828">
        <f t="shared" si="7"/>
        <v>9107</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816</v>
      </c>
      <c r="BD19" s="820">
        <f t="shared" si="7"/>
        <v>1935</v>
      </c>
      <c r="BE19" s="820">
        <f t="shared" si="7"/>
        <v>0</v>
      </c>
      <c r="BF19" s="830">
        <f t="shared" si="7"/>
        <v>0</v>
      </c>
      <c r="BG19" s="915">
        <f>IF(ISNUMBER(Datos!K19/Datos!J19),Datos!K19/Datos!J19," - ")</f>
        <v>1.0221288515406162</v>
      </c>
      <c r="BH19" s="915">
        <f>IF(ISNUMBER(((Datos!L19/Datos!K19)*11)/factor_trimestre),((Datos!L19/Datos!K19)*11)/factor_trimestre," - ")</f>
        <v>8.8380378185804336</v>
      </c>
      <c r="BI19" s="813">
        <f>IF(ISNUMBER(Datos!J19/Datos!I19),Datos!J19/Datos!I19," - ")</f>
        <v>0.3270428728471968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-0.56990323656990327</v>
      </c>
      <c r="BM19" s="889">
        <f>IF(ISNUMBER((Datos!P19-Datos!Q19+R19)/(Datos!R19-Datos!P19+Datos!Q19-R19)),(Datos!P19-Datos!Q19+R19)/(Datos!R19-Datos!P19+Datos!Q19-R19)," - ")</f>
        <v>-4.1973490427098671E-2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1245.5999999999999</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3.6893239368631092</v>
      </c>
      <c r="F21" s="551">
        <f>IF(ISNUMBER(STDEV(F8:F18)),STDEV(F8:F18),"-")</f>
        <v>1559.4230770811791</v>
      </c>
      <c r="G21" s="552">
        <f>IF(ISNUMBER(STDEV(G8:G18)),STDEV(G8:G18),"-")</f>
        <v>1517.2668848953369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882.22712495139251</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231.01688249995931</v>
      </c>
      <c r="BD21" s="551"/>
      <c r="BE21" s="551">
        <f>IF(ISNUMBER(STDEV(BE8:BE18)),STDEV(BE8:BE18),"-")</f>
        <v>0</v>
      </c>
      <c r="BF21" s="556">
        <f>IF(ISNUMBER(STDEV(BF8:BF18)),STDEV(BF8:BF18),"-")</f>
        <v>0</v>
      </c>
      <c r="BG21" s="775">
        <f>IF(ISNUMBER(STDEV(BG8:BG18)),STDEV(BG8:BG18),"-")</f>
        <v>1.9524248163810876</v>
      </c>
      <c r="BH21" s="776">
        <f>IF(ISNUMBER(STDEV(BH8:BH18)),STDEV(BH8:BH18),"-")</f>
        <v>2.9189608992461613</v>
      </c>
      <c r="BI21" s="249">
        <f>IF(ISNUMBER(STDEV(BI8:BI18)),STDEV(BI8:BI18),"-")</f>
        <v>0.11022899370987263</v>
      </c>
      <c r="BJ21" s="230" t="str">
        <f>IF(ISNUMBER(BL21/BM21),BL21/BM21," - ")</f>
        <v xml:space="preserve"> - </v>
      </c>
      <c r="BK21" s="575"/>
      <c r="BL21" s="559">
        <f>IF(ISNUMBER(STDEV(BL8:BL18)),STDEV(BL8:BL18),"-")</f>
        <v>0.23293075259514723</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m8M2Oet1ILt4umyxrTudqpRfaIn5t8pnxLPkOIKtwm4USPajaTNpyWAY4jmajbUuqHzQ7rdnyZgxHfdPzSU8TQ==" saltValue="XJO8zGUzZ+EG3HoZ1ceY9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ALMERIA  Resumenes por Partidos Judiciales  ROQUETAS DE MAR</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148</v>
      </c>
      <c r="G10" s="225">
        <f>IF(ISNUMBER(Datos!I10),Datos!I10," - ")</f>
        <v>148</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38</v>
      </c>
      <c r="Z10" s="619">
        <f>IF(ISNUMBER(Datos!Q10),Datos!Q10," - ")</f>
        <v>11</v>
      </c>
      <c r="AA10" s="332">
        <f>IF(ISNUMBER(Datos!L10),Datos!L10,"-")</f>
        <v>125</v>
      </c>
      <c r="AB10" s="334"/>
      <c r="AC10" s="334"/>
      <c r="AD10" s="484"/>
      <c r="AE10" s="484">
        <f>IF(ISNUMBER(Datos!R10),Datos!R10," - ")</f>
        <v>46</v>
      </c>
      <c r="AF10" s="229" t="str">
        <f>IF(ISNUMBER(Datos!BV10),Datos!BV10," - ")</f>
        <v xml:space="preserve"> - </v>
      </c>
      <c r="AG10" s="225" t="str">
        <f>IF(ISNUMBER(Datos!DV10),Datos!DV10," - ")</f>
        <v xml:space="preserve"> - </v>
      </c>
      <c r="AH10" s="298"/>
      <c r="AI10" s="227"/>
      <c r="AJ10" s="225">
        <f>IF(ISNUMBER(Datos!M10),Datos!M10," - ")</f>
        <v>21</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9.8684210526315788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-0.16363636363636364</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7</v>
      </c>
      <c r="B12" s="507" t="s">
        <v>246</v>
      </c>
      <c r="C12" s="7" t="str">
        <f>Datos!A12</f>
        <v xml:space="preserve">Jdos. 1ª Instª. e Instr.                        </v>
      </c>
      <c r="D12" s="508"/>
      <c r="E12" s="1168">
        <f>IF(ISNUMBER(Datos!AQ12),Datos!AQ12," - ")</f>
        <v>7</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478</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863</v>
      </c>
      <c r="AA12" s="332" t="str">
        <f>IF(ISNUMBER(IF(J_V="SI",Datos!L12,Datos!L12+Datos!AB12)-IF(Monitorios="SI",Datos!CD12,0)),
                          IF(J_V="SI",Datos!L12,Datos!L12+Datos!AB12)-IF(Monitorios="SI",Datos!CD12,0),
                          " - ")</f>
        <v xml:space="preserve"> - </v>
      </c>
      <c r="AB12" s="334"/>
      <c r="AC12" s="334"/>
      <c r="AD12" s="484"/>
      <c r="AE12" s="484">
        <f>IF(ISNUMBER(Datos!R12),Datos!R12," - ")</f>
        <v>8785</v>
      </c>
      <c r="AF12" s="229" t="str">
        <f>IF(ISNUMBER(Datos!BV12),Datos!BV12," - ")</f>
        <v xml:space="preserve"> - </v>
      </c>
      <c r="AG12" s="225" t="str">
        <f>IF(ISNUMBER(Datos!DV12),Datos!DV12," - ")</f>
        <v xml:space="preserve"> - </v>
      </c>
      <c r="AH12" s="298"/>
      <c r="AI12" s="227"/>
      <c r="AJ12" s="225">
        <f>IF(ISNUMBER(Datos!M12),Datos!M12," - ")</f>
        <v>516</v>
      </c>
      <c r="AK12" s="229">
        <f>IF(ISNUMBER(Datos!N12),Datos!N12," - ")</f>
        <v>838</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11.461384152457372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-4.1984732824427481E-2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7</v>
      </c>
      <c r="F13" s="898">
        <f>SUBTOTAL(9,F8:F12)</f>
        <v>148</v>
      </c>
      <c r="G13" s="898">
        <f>SUBTOTAL(9,G8:G12)</f>
        <v>148</v>
      </c>
      <c r="H13" s="908"/>
      <c r="I13" s="898">
        <f t="shared" ref="I13:N13" si="0">SUBTOTAL(9,I8:I12)</f>
        <v>0</v>
      </c>
      <c r="J13" s="867">
        <f t="shared" si="0"/>
        <v>0</v>
      </c>
      <c r="K13" s="908">
        <f t="shared" si="0"/>
        <v>0</v>
      </c>
      <c r="L13" s="908">
        <f t="shared" si="0"/>
        <v>0</v>
      </c>
      <c r="M13" s="908">
        <f t="shared" si="0"/>
        <v>0</v>
      </c>
      <c r="N13" s="908">
        <f t="shared" si="0"/>
        <v>480</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38</v>
      </c>
      <c r="Z13" s="907">
        <f t="shared" si="2"/>
        <v>874</v>
      </c>
      <c r="AA13" s="900">
        <f t="shared" si="2"/>
        <v>125</v>
      </c>
      <c r="AB13" s="900">
        <f t="shared" si="2"/>
        <v>0</v>
      </c>
      <c r="AC13" s="900">
        <f t="shared" si="2"/>
        <v>0</v>
      </c>
      <c r="AD13" s="900">
        <f t="shared" si="2"/>
        <v>0</v>
      </c>
      <c r="AE13" s="900">
        <f t="shared" si="2"/>
        <v>8831</v>
      </c>
      <c r="AF13" s="908">
        <f t="shared" si="2"/>
        <v>0</v>
      </c>
      <c r="AG13" s="908">
        <f t="shared" si="2"/>
        <v>0</v>
      </c>
      <c r="AH13" s="908">
        <f t="shared" si="2"/>
        <v>0</v>
      </c>
      <c r="AI13" s="908">
        <f t="shared" si="2"/>
        <v>0</v>
      </c>
      <c r="AJ13" s="908">
        <f t="shared" si="2"/>
        <v>537</v>
      </c>
      <c r="AK13" s="908">
        <f t="shared" si="2"/>
        <v>842</v>
      </c>
      <c r="AL13" s="908">
        <f t="shared" si="2"/>
        <v>0</v>
      </c>
      <c r="AM13" s="908">
        <f t="shared" si="2"/>
        <v>0</v>
      </c>
      <c r="AN13" s="908">
        <f t="shared" si="2"/>
        <v>0</v>
      </c>
      <c r="AO13" s="904">
        <f>IF(ISNUMBER(((NºAsuntos!I13/NºAsuntos!G13)*11)/factor_trimestre),((NºAsuntos!I13/NºAsuntos!G13)*11)/factor_trimestre," - ")</f>
        <v>11.431594488188976</v>
      </c>
      <c r="AP13" s="910" t="str">
        <f>IF(ISNUMBER(Datos!CI13/Datos!CJ13),Datos!CI13/Datos!CJ13," - ")</f>
        <v xml:space="preserve"> - </v>
      </c>
      <c r="AQ13" s="928">
        <f t="shared" ref="AQ13:AV13" si="3">SUBTOTAL(9,AQ9:AQ12)</f>
        <v>0</v>
      </c>
      <c r="AR13" s="928">
        <f t="shared" si="3"/>
        <v>-0.20562109646079113</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7</v>
      </c>
      <c r="B16" s="507" t="s">
        <v>396</v>
      </c>
      <c r="C16" s="160" t="str">
        <f>Datos!A16</f>
        <v xml:space="preserve">Jdos. 1ª Instª. e Instr.                        </v>
      </c>
      <c r="D16" s="502"/>
      <c r="E16" s="1168">
        <f>IF(ISNUMBER(Datos!AQ16),Datos!AQ16," - ")</f>
        <v>7</v>
      </c>
      <c r="F16" s="333">
        <f>IF(ISNUMBER(AA16+Y16-Datos!J16-K15),AA16+Y16-Datos!J16-K15," - ")</f>
        <v>2849</v>
      </c>
      <c r="G16" s="225">
        <f>IF(ISNUMBER(IF(D_I="SI",Datos!I16,Datos!I16+Datos!AC16)),IF(D_I="SI",Datos!I16,Datos!I16+Datos!AC16)," - ")</f>
        <v>2848</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45</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1629</v>
      </c>
      <c r="Z16" s="619">
        <f>IF(ISNUMBER(Datos!Q16),Datos!Q16," - ")</f>
        <v>50</v>
      </c>
      <c r="AA16" s="332">
        <f>IF(ISNUMBER(IF(D_I="SI",Datos!L16,Datos!L16+Datos!AF16)),IF(D_I="SI",Datos!L16,Datos!L16+Datos!AF16)," - ")</f>
        <v>3027</v>
      </c>
      <c r="AB16" s="334"/>
      <c r="AC16" s="334"/>
      <c r="AD16" s="484"/>
      <c r="AE16" s="484">
        <f>IF(ISNUMBER(Datos!R16),Datos!R16," - ")</f>
        <v>276</v>
      </c>
      <c r="AF16" s="229" t="str">
        <f>IF(ISNUMBER(Datos!BV16),Datos!BV16," - ")</f>
        <v xml:space="preserve"> - </v>
      </c>
      <c r="AG16" s="225"/>
      <c r="AH16" s="298"/>
      <c r="AI16" s="227"/>
      <c r="AJ16" s="225">
        <f>IF(ISNUMBER(Datos!M16),Datos!M16," - ")</f>
        <v>279</v>
      </c>
      <c r="AK16" s="229">
        <f>IF(ISNUMBER(Datos!N16),Datos!N16," - ")</f>
        <v>1078</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5.5745856353591163</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118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41</v>
      </c>
      <c r="Z17" s="619">
        <f>IF(ISNUMBER(Datos!Q17),Datos!Q17," - ")</f>
        <v>0</v>
      </c>
      <c r="AA17" s="332">
        <f>IF(ISNUMBER(Datos!L17),Datos!L17,"-")</f>
        <v>84</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15</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6.1463414634146352</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7</v>
      </c>
      <c r="F18" s="898">
        <f>SUBTOTAL(9,F15:F17)</f>
        <v>2849</v>
      </c>
      <c r="G18" s="898">
        <f>SUBTOTAL(9,G15:G17)</f>
        <v>2966</v>
      </c>
      <c r="H18" s="932">
        <f>SUBTOTAL(9,H15:H17)</f>
        <v>0</v>
      </c>
      <c r="I18" s="911">
        <f>SUBTOTAL(9,I15:I17)</f>
        <v>0</v>
      </c>
      <c r="J18" s="867">
        <f>SUBTOTAL(9,J14:J17)</f>
        <v>0</v>
      </c>
      <c r="K18" s="932">
        <f t="shared" ref="K18:S18" si="4">SUBTOTAL(9,K15:K17)</f>
        <v>0</v>
      </c>
      <c r="L18" s="932">
        <f t="shared" si="4"/>
        <v>0</v>
      </c>
      <c r="M18" s="932">
        <f t="shared" si="4"/>
        <v>0</v>
      </c>
      <c r="N18" s="932">
        <f t="shared" si="4"/>
        <v>45</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1670</v>
      </c>
      <c r="Z18" s="932">
        <f t="shared" si="5"/>
        <v>50</v>
      </c>
      <c r="AA18" s="932">
        <f t="shared" si="5"/>
        <v>3111</v>
      </c>
      <c r="AB18" s="932">
        <f t="shared" si="5"/>
        <v>0</v>
      </c>
      <c r="AC18" s="932">
        <f t="shared" si="5"/>
        <v>0</v>
      </c>
      <c r="AD18" s="932">
        <f t="shared" si="5"/>
        <v>0</v>
      </c>
      <c r="AE18" s="932">
        <f t="shared" si="5"/>
        <v>276</v>
      </c>
      <c r="AF18" s="932">
        <f t="shared" si="5"/>
        <v>0</v>
      </c>
      <c r="AG18" s="932">
        <f t="shared" si="5"/>
        <v>0</v>
      </c>
      <c r="AH18" s="932">
        <f t="shared" si="5"/>
        <v>0</v>
      </c>
      <c r="AI18" s="932">
        <f t="shared" si="5"/>
        <v>0</v>
      </c>
      <c r="AJ18" s="932">
        <f t="shared" si="5"/>
        <v>279</v>
      </c>
      <c r="AK18" s="932">
        <f t="shared" si="5"/>
        <v>1093</v>
      </c>
      <c r="AL18" s="932">
        <f t="shared" si="5"/>
        <v>0</v>
      </c>
      <c r="AM18" s="932">
        <f t="shared" si="5"/>
        <v>0</v>
      </c>
      <c r="AN18" s="932">
        <f t="shared" si="5"/>
        <v>0</v>
      </c>
      <c r="AO18" s="934">
        <f>IF(ISNUMBER(((NºAsuntos!I18/NºAsuntos!G18)*11)/factor_trimestre),((NºAsuntos!I18/NºAsuntos!G18)*11)/factor_trimestre," - ")</f>
        <v>5.588622754491019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14</v>
      </c>
      <c r="F19" s="820">
        <f t="shared" si="7"/>
        <v>2997</v>
      </c>
      <c r="G19" s="820">
        <f t="shared" si="7"/>
        <v>3114</v>
      </c>
      <c r="H19" s="821">
        <f t="shared" si="7"/>
        <v>0</v>
      </c>
      <c r="I19" s="820">
        <f t="shared" si="7"/>
        <v>0</v>
      </c>
      <c r="J19" s="822">
        <f t="shared" si="7"/>
        <v>0</v>
      </c>
      <c r="K19" s="820">
        <f t="shared" si="7"/>
        <v>0</v>
      </c>
      <c r="L19" s="823">
        <f t="shared" si="7"/>
        <v>0</v>
      </c>
      <c r="M19" s="820">
        <f t="shared" si="7"/>
        <v>0</v>
      </c>
      <c r="N19" s="821">
        <f t="shared" si="7"/>
        <v>525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1708</v>
      </c>
      <c r="Z19" s="827">
        <f t="shared" si="8"/>
        <v>924</v>
      </c>
      <c r="AA19" s="828">
        <f t="shared" si="8"/>
        <v>3236</v>
      </c>
      <c r="AB19" s="828">
        <f t="shared" si="8"/>
        <v>0</v>
      </c>
      <c r="AC19" s="828">
        <f t="shared" si="8"/>
        <v>0</v>
      </c>
      <c r="AD19" s="829">
        <f t="shared" si="8"/>
        <v>0</v>
      </c>
      <c r="AE19" s="829">
        <f t="shared" si="8"/>
        <v>9107</v>
      </c>
      <c r="AF19" s="830">
        <f t="shared" si="8"/>
        <v>0</v>
      </c>
      <c r="AG19" s="831">
        <f t="shared" si="8"/>
        <v>0</v>
      </c>
      <c r="AH19" s="832">
        <f t="shared" si="8"/>
        <v>0</v>
      </c>
      <c r="AI19" s="830">
        <f t="shared" si="8"/>
        <v>0</v>
      </c>
      <c r="AJ19" s="820">
        <f t="shared" si="8"/>
        <v>816</v>
      </c>
      <c r="AK19" s="820">
        <f t="shared" si="8"/>
        <v>1935</v>
      </c>
      <c r="AL19" s="820">
        <f t="shared" si="8"/>
        <v>0</v>
      </c>
      <c r="AM19" s="833">
        <f t="shared" si="8"/>
        <v>0</v>
      </c>
      <c r="AN19" s="823">
        <f>IF(ISNUMBER(Datos!K19/Datos!J19),Datos!K19/Datos!J19," - ")</f>
        <v>1.0221288515406162</v>
      </c>
      <c r="AO19" s="823">
        <f>IF(ISNUMBER(FIND("06",Criterios!A8,1)),(IF(ISNUMBER(((Datos!R19/Datos!Q19)*11)/factor_trimestre),((Datos!R19/Datos!Q19)*11)/factor_trimestre," - ")),(IF(ISNUMBER(((Datos!L19/Datos!K19)*11)/factor_trimestre),((Datos!L19/Datos!K19)*11)/factor_trimestre," - ")))</f>
        <v>8.8380378185804336</v>
      </c>
      <c r="AP19" s="834" t="str">
        <f>IF(ISNUMBER(Datos!CI19/Datos!CJ19),Datos!CI19/Datos!CJ19," - ")</f>
        <v xml:space="preserve"> - </v>
      </c>
      <c r="AQ19" s="834">
        <f>IF(OR(ISNUMBER(FIND("01",Criterios!A8,1)),ISNUMBER(FIND("02",Criterios!A8,1)),ISNUMBER(FIND("03",Criterios!A8,1)),ISNUMBER(FIND("04",Criterios!A8,1))),(J19-Y19+K19)/(F19-K19),(I19-Y19+K19)/(F19-K19))</f>
        <v>-0.56990323656990327</v>
      </c>
      <c r="AR19" s="834">
        <f>IF(ISNUMBER((Datos!P19-Datos!Q19+O19)/(Datos!R19-Datos!P19+Datos!Q19-O19)),(Datos!P19-Datos!Q19+O19)/(Datos!R19-Datos!P19+Datos!Q19-O19)," - ")</f>
        <v>-4.1973490427098671E-2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1245.5999999999999</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1559.4230770811791</v>
      </c>
      <c r="G21" s="552">
        <f>IF(ISNUMBER(STDEV(G8:G18)),STDEV(G8:G18),"-")</f>
        <v>1517.2668848953369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231.01688249995931</v>
      </c>
      <c r="AK21" s="252"/>
      <c r="AL21" s="252">
        <f>IF(ISNUMBER(STDEV(AL8:AL18)),STDEV(AL8:AL18),"-")</f>
        <v>0</v>
      </c>
      <c r="AM21" s="254">
        <f>IF(ISNUMBER(STDEV(AM8:AM18)),STDEV(AM8:AM18),"-")</f>
        <v>0</v>
      </c>
      <c r="AN21" s="539">
        <f>IF(ISNUMBER(STDEV(AN8:AN18)),STDEV(AN8:AN18),"-")</f>
        <v>0</v>
      </c>
      <c r="AO21" s="540">
        <f>IF(ISNUMBER(STDEV(AO8:AO18)),STDEV(AO8:AO18),"-")</f>
        <v>2.8867503496285214</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gciZtHIhkaMsHY0C9oB/FbZ2rGgOYw3qSTRm6YrEw3CUaDTBq1CW+tmL+XaSQCpAImwra1+f9baN0vVZsG/m3Q==" saltValue="LoOm21XwZZjNrLlW0nzBQ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Az/EDcRB1YG2epsVbNfQ3rOwf03XfvSmztqaMH9cUQq+aL9FJGAkliPWDRpk6x2wi6lancO5PiD9/oCUQWj57Q==" saltValue="jghPTmf43VdWyHZ2Ztrbt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vvNfr5W6E8B7EDIJrJgtwsgDeTOBy12VDurYboTSK3buwZ+/VKJmUV6HfwpjBG7qnWo6lXjE2bVS3L2btCgnA==" saltValue="sYM8mRPP1UIcr1J5Qs3AA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ALMERIA  Resumenes por Partidos Judiciales  ROQUETAS DE MAR</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0.26427165354330706</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0.18686827829585431</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8MvE/dz3NYitcZFfbOzPs9TYNCpey2Dcdau2y2cT5dv7d3ILAvNrYQWOyz/9BQtB9dkDIkp2dlGAuhLRRZEgBQ==" saltValue="LXA5R/sCy6QnDtb9DwWco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b74XU/cZGynlFlCcmA3flnLX7tUKLLPE32RkEWPlBhpjzipiOJgcT/jKdYm7n6k31Smqv+2mhAkzbjaHjisBow==" saltValue="8xe6Ys/EjfIKcr2VU9nE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ALMERIA</v>
      </c>
      <c r="D3" s="375"/>
      <c r="E3" s="375"/>
      <c r="F3" s="375"/>
      <c r="BQ3" s="471"/>
    </row>
    <row r="4" spans="1:69" ht="13.5" thickBot="1">
      <c r="A4" s="375"/>
      <c r="B4" s="391" t="str">
        <f>Criterios!A11 &amp;"  "&amp;Criterios!B11</f>
        <v>Resumenes por Partidos Judiciales  ROQUETAS DE MAR</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148</v>
      </c>
      <c r="D10" s="404">
        <f>IF(ISNUMBER(C10/Datos!BH10),C10/Datos!BH10," - ")</f>
        <v>148</v>
      </c>
      <c r="E10" s="403">
        <f>IF(ISNUMBER(Datos!J10),Datos!J10," - ")</f>
        <v>15</v>
      </c>
      <c r="F10" s="404">
        <f>IF(ISNUMBER(E10/B10),E10/B10," - ")</f>
        <v>15</v>
      </c>
      <c r="G10" s="403">
        <f>IF(ISNUMBER(Datos!K10),Datos!K10," - ")</f>
        <v>38</v>
      </c>
      <c r="H10" s="404">
        <f>IF(ISNUMBER(G10/B10),G10/B10," - ")</f>
        <v>38</v>
      </c>
      <c r="I10" s="403">
        <f>IF(ISNUMBER(Datos!L10),Datos!L10," - ")</f>
        <v>125</v>
      </c>
      <c r="J10" s="404">
        <f>IF(ISNUMBER(I10/B10),I10/B10," - ")</f>
        <v>125</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7</v>
      </c>
      <c r="C12" s="403">
        <f>IF(ISNUMBER(IF(J_V="SI",Datos!I12,Datos!I12+Datos!Y12)),IF(J_V="SI",Datos!I12,Datos!I12+Datos!Y12)," - ")</f>
        <v>7899</v>
      </c>
      <c r="D12" s="404">
        <f>IF(ISNUMBER(C12/Datos!BH12),C12/Datos!BH12," - ")</f>
        <v>1128.4285714285713</v>
      </c>
      <c r="E12" s="403">
        <f>IF(ISNUMBER(IF(J_V="SI",Datos!J12,Datos!J12+Datos!Z12)),IF(J_V="SI",Datos!J12,Datos!J12+Datos!Z12)," - ")</f>
        <v>1801</v>
      </c>
      <c r="F12" s="404">
        <f>IF(ISNUMBER(E12/B12),E12/B12," - ")</f>
        <v>257.28571428571428</v>
      </c>
      <c r="G12" s="403">
        <f>IF(ISNUMBER(IF(J_V="SI",Datos!K12,Datos!K12+Datos!AA12)),IF(J_V="SI",Datos!K12,Datos!K12+Datos!AA12)," - ")</f>
        <v>1994</v>
      </c>
      <c r="H12" s="404">
        <f>IF(ISNUMBER(G12/B12),G12/B12," - ")</f>
        <v>284.85714285714283</v>
      </c>
      <c r="I12" s="403">
        <f>IF(ISNUMBER(IF(J_V="SI",Datos!L12,Datos!L12+Datos!AB12)),IF(J_V="SI",Datos!L12,Datos!L12+Datos!AB12)," - ")</f>
        <v>7618</v>
      </c>
      <c r="J12" s="404">
        <f>IF(ISNUMBER(I12/B12),I12/B12," - ")</f>
        <v>1088.2857142857142</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7</v>
      </c>
      <c r="C13" s="849">
        <f>SUBTOTAL(9,C8:C12)</f>
        <v>8047</v>
      </c>
      <c r="D13" s="850" t="str">
        <f>IF(ISNUMBER(C13/Datos!BI13),C13/Datos!BI13," - ")</f>
        <v xml:space="preserve"> - </v>
      </c>
      <c r="E13" s="849">
        <f>SUBTOTAL(9,E8:E12)</f>
        <v>1816</v>
      </c>
      <c r="F13" s="850">
        <f>IF(ISNUMBER(E13/B13),E13/B13," - ")</f>
        <v>259.42857142857144</v>
      </c>
      <c r="G13" s="849">
        <f>SUBTOTAL(9,G8:G12)</f>
        <v>2032</v>
      </c>
      <c r="H13" s="850">
        <f>IF(ISNUMBER(G13/B13),G13/B13," - ")</f>
        <v>290.28571428571428</v>
      </c>
      <c r="I13" s="849">
        <f>SUBTOTAL(9,I8:I12)</f>
        <v>7743</v>
      </c>
      <c r="J13" s="850">
        <f>IF(ISNUMBER(I13/B13),I13/B13," - ")</f>
        <v>1106.1428571428571</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7</v>
      </c>
      <c r="C16" s="403">
        <f>IF(ISNUMBER(IF(D_I="SI",Datos!I16,Datos!I16+Datos!AC16)),IF(D_I="SI",Datos!I16,Datos!I16+Datos!AC16)," - ")</f>
        <v>2848</v>
      </c>
      <c r="D16" s="404">
        <f>IF(ISNUMBER(C16/Datos!BH16),C16/Datos!BH16," - ")</f>
        <v>406.85714285714283</v>
      </c>
      <c r="E16" s="403">
        <f>IF(ISNUMBER(IF(D_I="SI",Datos!J16,Datos!J16+Datos!AD16)),IF(D_I="SI",Datos!J16,Datos!J16+Datos!AD16)," - ")</f>
        <v>1807</v>
      </c>
      <c r="F16" s="404">
        <f>IF(ISNUMBER(E16/B16),E16/B16," - ")</f>
        <v>258.14285714285717</v>
      </c>
      <c r="G16" s="403">
        <f>IF(ISNUMBER(IF(D_I="SI",Datos!K16,Datos!K16+Datos!AE16)),IF(D_I="SI",Datos!K16,Datos!K16+Datos!AE16)," - ")</f>
        <v>1629</v>
      </c>
      <c r="H16" s="404">
        <f>IF(ISNUMBER(G16/B16),G16/B16," - ")</f>
        <v>232.71428571428572</v>
      </c>
      <c r="I16" s="403">
        <f>IF(ISNUMBER(IF(D_I="SI",Datos!L16,Datos!L16+Datos!AF16)),IF(D_I="SI",Datos!L16,Datos!L16+Datos!AF16)," - ")</f>
        <v>3027</v>
      </c>
      <c r="J16" s="404">
        <f>IF(ISNUMBER(I16/B16),I16/B16," - ")</f>
        <v>432.42857142857144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118</v>
      </c>
      <c r="D17" s="404">
        <f>IF(ISNUMBER(C17/Datos!BH17),C17/Datos!BH17," - ")</f>
        <v>118</v>
      </c>
      <c r="E17" s="403">
        <f>IF(ISNUMBER(IF(D_I="SI",Datos!J17,Datos!J17+Datos!AD17)),IF(D_I="SI",Datos!J17,Datos!J17+Datos!AD17)," - ")</f>
        <v>7</v>
      </c>
      <c r="F17" s="404">
        <f>IF(ISNUMBER(E17/B17),E17/B17," - ")</f>
        <v>7</v>
      </c>
      <c r="G17" s="403">
        <f>IF(ISNUMBER(IF(D_I="SI",Datos!K17,Datos!K17+Datos!AE17)),IF(D_I="SI",Datos!K17,Datos!K17+Datos!AE17)," - ")</f>
        <v>41</v>
      </c>
      <c r="H17" s="404">
        <f>IF(ISNUMBER(G17/B17),G17/B17," - ")</f>
        <v>41</v>
      </c>
      <c r="I17" s="403">
        <f>IF(ISNUMBER(IF(D_I="SI",Datos!L17,Datos!L17+Datos!AF17)),IF(D_I="SI",Datos!L17,Datos!L17+Datos!AF17)," - ")</f>
        <v>84</v>
      </c>
      <c r="J17" s="404">
        <f>IF(ISNUMBER(I17/B17),I17/B17," - ")</f>
        <v>84</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7</v>
      </c>
      <c r="C18" s="849">
        <f>SUBTOTAL(9,C14:C17)</f>
        <v>2966</v>
      </c>
      <c r="D18" s="850" t="str">
        <f>IF(ISNUMBER(C18/Datos!BI18),C18/Datos!BI18," - ")</f>
        <v xml:space="preserve"> - </v>
      </c>
      <c r="E18" s="849">
        <f>SUBTOTAL(9,E14:E17)</f>
        <v>1814</v>
      </c>
      <c r="F18" s="850">
        <f>IF(ISNUMBER(E18/B18),E18/B18," - ")</f>
        <v>259.14285714285717</v>
      </c>
      <c r="G18" s="849">
        <f>SUBTOTAL(9,G14:G17)</f>
        <v>1670</v>
      </c>
      <c r="H18" s="850">
        <f>IF(ISNUMBER(G18/B18),G18/B18," - ")</f>
        <v>238.57142857142858</v>
      </c>
      <c r="I18" s="849">
        <f>SUBTOTAL(9,I14:I17)</f>
        <v>3111</v>
      </c>
      <c r="J18" s="850">
        <f>IF(ISNUMBER(I18/B18),I18/B18," - ")</f>
        <v>444.42857142857144</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7</v>
      </c>
      <c r="C19" s="794">
        <f>SUBTOTAL(9,C9:C18)</f>
        <v>11013</v>
      </c>
      <c r="D19" s="795" t="str">
        <f>IF(ISNUMBER(C19/Datos!BI19),C19/Datos!BI19," - ")</f>
        <v xml:space="preserve"> - </v>
      </c>
      <c r="E19" s="794">
        <f>SUBTOTAL(9,E9:E18)</f>
        <v>3630</v>
      </c>
      <c r="F19" s="795">
        <f>IF(ISNUMBER(E19/B19),E19/B19," - ")</f>
        <v>518.57142857142856</v>
      </c>
      <c r="G19" s="794">
        <f>SUBTOTAL(9,G9:G18)</f>
        <v>3702</v>
      </c>
      <c r="H19" s="795">
        <f>IF(ISNUMBER(G19/B19),G19/B19," - ")</f>
        <v>528.85714285714289</v>
      </c>
      <c r="I19" s="794">
        <f>SUBTOTAL(9,I9:I18)</f>
        <v>10854</v>
      </c>
      <c r="J19" s="795">
        <f>IF(ISNUMBER(I19/B19),I19/B19," - ")</f>
        <v>1550.5714285714287</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xG/vWEw2RDUYeecK2tmMDj+RGuEAXIa6itqDJ5JZnSnl7RNbdeBOPkJtQDb3pG201hEn94Lxl3YIBDxSJONlCw==" saltValue="K8itk8L61ktgvvk/XEB3h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ALMERIA  Resumenes por Partidos Judiciales  ROQUETAS DE MAR</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148</v>
      </c>
      <c r="G10" s="684">
        <f>IF(ISNUMBER(Datos!I10),Datos!I10," - ")</f>
        <v>148</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38</v>
      </c>
      <c r="AC10" s="683" t="str">
        <f>IF(ISNUMBER(IF(D_I="SI",DatosP!K17,DatosP!K17+DatosP!AE17)),IF(D_I="SI",DatosP!K17,DatosP!K17+DatosP!AE17)," - ")</f>
        <v xml:space="preserve"> - </v>
      </c>
      <c r="AD10" s="685"/>
      <c r="AE10" s="685"/>
      <c r="AF10" s="688">
        <f>IF(ISNUMBER(Datos!L10),Datos!L10,"-")</f>
        <v>125</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21</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9.8684210526315788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7</v>
      </c>
      <c r="B12" s="507" t="s">
        <v>246</v>
      </c>
      <c r="C12" s="7" t="str">
        <f>Datos!A12</f>
        <v xml:space="preserve">Jdos. 1ª Instª. e Instr.                        </v>
      </c>
      <c r="D12" s="508"/>
      <c r="E12" s="682">
        <f>IF(ISNUMBER(Datos!AQ12),Datos!AQ12," - ")</f>
        <v>7</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478</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863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8785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516</v>
      </c>
      <c r="AM12" s="690">
        <f>IF(ISNUMBER(Datos!N12+DatosP!N16),Datos!N12+DatosP!N16," - ")</f>
        <v>838</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11.461384152457372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-4.1984732824427481E-2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7</v>
      </c>
      <c r="F13" s="938">
        <f t="shared" si="0"/>
        <v>148</v>
      </c>
      <c r="G13" s="938">
        <f t="shared" si="0"/>
        <v>148</v>
      </c>
      <c r="H13" s="938">
        <f t="shared" si="0"/>
        <v>0</v>
      </c>
      <c r="I13" s="940">
        <f t="shared" si="0"/>
        <v>0</v>
      </c>
      <c r="J13" s="939">
        <f t="shared" si="0"/>
        <v>0</v>
      </c>
      <c r="K13" s="939">
        <f t="shared" si="0"/>
        <v>0</v>
      </c>
      <c r="L13" s="941">
        <f t="shared" si="0"/>
        <v>0</v>
      </c>
      <c r="M13" s="941">
        <f t="shared" si="0"/>
        <v>0</v>
      </c>
      <c r="N13" s="939">
        <f t="shared" si="0"/>
        <v>480</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38</v>
      </c>
      <c r="AC13" s="939">
        <f t="shared" si="1"/>
        <v>0</v>
      </c>
      <c r="AD13" s="939">
        <f t="shared" si="1"/>
        <v>863</v>
      </c>
      <c r="AE13" s="939">
        <f t="shared" si="1"/>
        <v>0</v>
      </c>
      <c r="AF13" s="939">
        <f t="shared" si="1"/>
        <v>125</v>
      </c>
      <c r="AG13" s="939">
        <f t="shared" si="1"/>
        <v>0</v>
      </c>
      <c r="AH13" s="939">
        <f t="shared" si="1"/>
        <v>8785</v>
      </c>
      <c r="AI13" s="939">
        <f t="shared" si="1"/>
        <v>0</v>
      </c>
      <c r="AJ13" s="939">
        <f t="shared" si="1"/>
        <v>0</v>
      </c>
      <c r="AK13" s="939">
        <f t="shared" si="1"/>
        <v>0</v>
      </c>
      <c r="AL13" s="939">
        <f t="shared" si="1"/>
        <v>537</v>
      </c>
      <c r="AM13" s="939">
        <f t="shared" si="1"/>
        <v>842</v>
      </c>
      <c r="AN13" s="939">
        <f t="shared" si="1"/>
        <v>0</v>
      </c>
      <c r="AO13" s="939">
        <f t="shared" si="1"/>
        <v>0</v>
      </c>
      <c r="AP13" s="944">
        <f>IF(ISNUMBER(((Datos!L13/Datos!K13)*11)/factor_trimestre),((Datos!L13/Datos!K13)*11)/factor_trimestre," - ")</f>
        <v>11.580090955027792</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-0.25675675675675674</v>
      </c>
      <c r="AU13" s="939" t="str">
        <f>IF(ISNUMBER((DatosP!#REF!-DatosP!#REF!+DatosP!#REF!)/(DatosP!#REF!+DatosP!#REF!-DatosP!#REF!-DatosP!#REF!)),(DatosP!#REF!-DatosP!#REF!+DatosP!#REF!)/(DatosP!#REF!+DatosP!#REF!-DatosP!#REF!-DatosP!#REF!)," - ")</f>
        <v xml:space="preserve"> - </v>
      </c>
      <c r="AV13" s="945">
        <f>SUBTOTAL(9,AV9:AV12)</f>
        <v>-4.1984732824427481E-2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7</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5.588622754491019</v>
      </c>
      <c r="AQ18" s="944">
        <f>IF(ISNUMBER(((Datos!M18/Datos!L18)*11)/factor_trimestre),((Datos!M18/Datos!L18)*11)/factor_trimestre," - ")</f>
        <v>0.26904532304725171</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-1.7793594306049824E-2</v>
      </c>
      <c r="AW18" s="946">
        <f>IF(ISNUMBER((Datos!Q18-Datos!R18)/(Datos!S18-Datos!Q18+Datos!R18)),(Datos!Q18-Datos!R18)/(Datos!S18-Datos!Q18+Datos!R18)," - ")</f>
        <v>-9.0982286634460549E-2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7</v>
      </c>
      <c r="F19" s="951">
        <f t="shared" si="4"/>
        <v>148</v>
      </c>
      <c r="G19" s="951">
        <f t="shared" si="4"/>
        <v>148</v>
      </c>
      <c r="H19" s="951">
        <f t="shared" si="4"/>
        <v>0</v>
      </c>
      <c r="I19" s="952">
        <f t="shared" si="4"/>
        <v>0</v>
      </c>
      <c r="J19" s="953">
        <f t="shared" si="4"/>
        <v>0</v>
      </c>
      <c r="K19" s="953">
        <f t="shared" si="4"/>
        <v>0</v>
      </c>
      <c r="L19" s="953">
        <f t="shared" si="4"/>
        <v>0</v>
      </c>
      <c r="M19" s="953">
        <f t="shared" si="4"/>
        <v>0</v>
      </c>
      <c r="N19" s="952">
        <f t="shared" si="4"/>
        <v>480</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38</v>
      </c>
      <c r="AC19" s="957">
        <f t="shared" si="5"/>
        <v>0</v>
      </c>
      <c r="AD19" s="957">
        <f t="shared" si="5"/>
        <v>863</v>
      </c>
      <c r="AE19" s="957">
        <f t="shared" si="5"/>
        <v>0</v>
      </c>
      <c r="AF19" s="958">
        <f t="shared" si="5"/>
        <v>125</v>
      </c>
      <c r="AG19" s="958">
        <f t="shared" si="5"/>
        <v>0</v>
      </c>
      <c r="AH19" s="958">
        <f t="shared" si="5"/>
        <v>8785</v>
      </c>
      <c r="AI19" s="958">
        <f t="shared" si="5"/>
        <v>0</v>
      </c>
      <c r="AJ19" s="959">
        <f t="shared" si="5"/>
        <v>0</v>
      </c>
      <c r="AK19" s="959">
        <f t="shared" si="5"/>
        <v>0</v>
      </c>
      <c r="AL19" s="951">
        <f t="shared" si="5"/>
        <v>537</v>
      </c>
      <c r="AM19" s="951">
        <f t="shared" si="5"/>
        <v>842</v>
      </c>
      <c r="AN19" s="951">
        <f t="shared" si="5"/>
        <v>0</v>
      </c>
      <c r="AO19" s="951">
        <f t="shared" si="5"/>
        <v>0</v>
      </c>
      <c r="AP19" s="951">
        <f>IF(ISNUMBER(((Datos!L19/Datos!K19)*11)/factor_trimestre),((Datos!L19/Datos!K19)*11)/factor_trimestre," - ")</f>
        <v>8.8380378185804336</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-0.25675675675675674</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-4.1973490427098671E-2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98.666666666666671</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3.614784456460256</v>
      </c>
      <c r="F21" s="736">
        <f>IF(ISNUMBER(STDEV(F8:F18)),STDEV(F8:F18),"-")</f>
        <v>85.447839840064617</v>
      </c>
      <c r="G21" s="737">
        <f>IF(ISNUMBER(STDEV(G8:G18)),STDEV(G8:G18),"-")</f>
        <v>85.447839840064617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21.93931022920578</v>
      </c>
      <c r="AC21" s="738">
        <f>IF(ISNUMBER(STDEV(AC8:AC18)),STDEV(AC8:AC18),"-")</f>
        <v>0</v>
      </c>
      <c r="AD21" s="741"/>
      <c r="AE21" s="741"/>
      <c r="AF21" s="741"/>
      <c r="AG21" s="741"/>
      <c r="AH21" s="741"/>
      <c r="AI21" s="741"/>
      <c r="AJ21" s="742">
        <f>IF(ISNUMBER(STDEV(AJ8:AJ18)),STDEV(AJ8:AJ18),"-")</f>
        <v>0</v>
      </c>
      <c r="AK21" s="744"/>
      <c r="AL21" s="736">
        <f>IF(ISNUMBER(STDEV(AL8:AL18)),STDEV(AL8:AL18),"-")</f>
        <v>298.15935336661835</v>
      </c>
      <c r="AM21" s="736"/>
      <c r="AN21" s="736">
        <f>IF(ISNUMBER(STDEV(AN8:AN18)),STDEV(AN8:AN18),"-")</f>
        <v>0</v>
      </c>
      <c r="AO21" s="742">
        <f>IF(ISNUMBER(STDEV(AO8:AO18)),STDEV(AO8:AO18),"-")</f>
        <v>0</v>
      </c>
      <c r="AP21" s="779">
        <f>IF(ISNUMBER(STDEV(AP8:AP18)),STDEV(AP8:AP18),"-")</f>
        <v>2.8015639635955374</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G07cd9qWzpUajnQUFu45hvhg7v0y19hW/ny6lvwPnPmfUdLIHtcjDGx9FwbyNz4O4/h6Nh80Z8wl/N5sGmzsSw==" saltValue="UsEQjQ0AMaU8gB1S8jVGm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ALMERIA</v>
      </c>
      <c r="C3" s="415"/>
      <c r="F3" s="375"/>
      <c r="G3" s="375"/>
      <c r="H3" s="375"/>
    </row>
    <row r="4" spans="1:15" ht="13.5" thickBot="1">
      <c r="A4" s="375"/>
      <c r="B4" s="391" t="str">
        <f>Criterios!A11 &amp;"  "&amp;Criterios!B11</f>
        <v>Resumenes por Partidos Judiciales  ROQUETAS DE MAR</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7</v>
      </c>
      <c r="D12" s="403">
        <f>Datos!BK12</f>
        <v>0</v>
      </c>
      <c r="E12" s="403">
        <f>Datos!AQ12</f>
        <v>7</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7</v>
      </c>
      <c r="D16" s="403">
        <f>Datos!BK16</f>
        <v>0</v>
      </c>
      <c r="E16" s="403">
        <f>Datos!AQ16</f>
        <v>7</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9OsNE8F+GPczzw8GnGr3jADywCL9OCPwkqpUjqTaI/oF3yPS1VJEZhQsoQ7ZL8kUJUu0T+NB0fpaDYHv8xSz0w==" saltValue="m0mJKYhUrEFdVZRwqFAdT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ALMERIA</v>
      </c>
      <c r="C3" s="391"/>
      <c r="D3" s="425"/>
      <c r="BZ3" s="471"/>
    </row>
    <row r="4" spans="1:78" ht="13.5" thickBot="1">
      <c r="B4" s="391" t="str">
        <f>Criterios!A11 &amp;"  "&amp;Criterios!B11</f>
        <v>Resumenes por Partidos Judiciales  ROQUETAS DE MAR</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21</v>
      </c>
      <c r="E10" s="404">
        <f>IF(ISNUMBER(D10/B10),D10/B10," - ")</f>
        <v>21</v>
      </c>
      <c r="F10" s="403">
        <f>IF(ISNUMBER(Datos!N10),Datos!N10," - ")</f>
        <v>4</v>
      </c>
      <c r="G10" s="404">
        <f>IF(ISNUMBER(F10/B10),F10/B10," - ")</f>
        <v>4</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7</v>
      </c>
      <c r="C12" s="410">
        <f>Datos!AQ12</f>
        <v>7</v>
      </c>
      <c r="D12" s="403">
        <f>IF(ISNUMBER(Datos!M12),Datos!M12," - ")</f>
        <v>516</v>
      </c>
      <c r="E12" s="404">
        <f t="shared" si="0"/>
        <v>73.714285714285708</v>
      </c>
      <c r="F12" s="403">
        <f>IF(ISNUMBER(Datos!N12),Datos!N12," - ")</f>
        <v>838</v>
      </c>
      <c r="G12" s="404">
        <f t="shared" si="1"/>
        <v>119.71428571428571</v>
      </c>
      <c r="H12" s="403">
        <f>IF(ISNUMBER(Datos!O12),Datos!O12," - ")</f>
        <v>711</v>
      </c>
      <c r="I12" s="404">
        <f t="shared" si="2"/>
        <v>101.57142857142857</v>
      </c>
      <c r="BZ12" s="1186">
        <f>Datos!EZ12</f>
        <v>0</v>
      </c>
    </row>
    <row r="13" spans="1:78" ht="14.25" thickTop="1" thickBot="1">
      <c r="A13" s="848" t="str">
        <f>Datos!A13</f>
        <v>TOTAL</v>
      </c>
      <c r="B13" s="849">
        <f>Datos!AP13</f>
        <v>7</v>
      </c>
      <c r="C13" s="851">
        <f>Datos!AR13</f>
        <v>7</v>
      </c>
      <c r="D13" s="849">
        <f>SUBTOTAL(9,D9:D12)</f>
        <v>537</v>
      </c>
      <c r="E13" s="850">
        <f t="shared" si="0"/>
        <v>76.714285714285708</v>
      </c>
      <c r="F13" s="849">
        <f>SUBTOTAL(9,F9:F12)</f>
        <v>842</v>
      </c>
      <c r="G13" s="850">
        <f t="shared" si="1"/>
        <v>120.28571428571429</v>
      </c>
      <c r="H13" s="849">
        <f>SUBTOTAL(9,H9:H12)</f>
        <v>711</v>
      </c>
      <c r="I13" s="850">
        <f>IF(ISNUMBER(H13/B13),H13/B13," - ")</f>
        <v>101.57142857142857</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7</v>
      </c>
      <c r="C16" s="428">
        <f>Datos!AQ16</f>
        <v>7</v>
      </c>
      <c r="D16" s="403">
        <f>IF(ISNUMBER(Datos!M16),Datos!M16," - ")</f>
        <v>279</v>
      </c>
      <c r="E16" s="404">
        <f t="shared" si="3"/>
        <v>39.857142857142854</v>
      </c>
      <c r="F16" s="403">
        <f>IF(ISNUMBER(Datos!N16),Datos!N16," - ")</f>
        <v>1078</v>
      </c>
      <c r="G16" s="404">
        <f t="shared" si="4"/>
        <v>154</v>
      </c>
      <c r="H16" s="403">
        <f>IF(ISNUMBER(Datos!O16),Datos!O16," - ")</f>
        <v>22</v>
      </c>
      <c r="I16" s="404">
        <f t="shared" si="5"/>
        <v>3.1428571428571428</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15</v>
      </c>
      <c r="G17" s="404">
        <f>IF(ISNUMBER(F17/B17),F17/B17," - ")</f>
        <v>15</v>
      </c>
      <c r="H17" s="403">
        <f>IF(ISNUMBER(Datos!O17),Datos!O17," - ")</f>
        <v>0</v>
      </c>
      <c r="I17" s="404">
        <f t="shared" si="5"/>
        <v>0</v>
      </c>
      <c r="BZ17" s="1186">
        <f>Datos!EZ17</f>
        <v>0</v>
      </c>
    </row>
    <row r="18" spans="1:78" ht="14.25" thickTop="1" thickBot="1">
      <c r="A18" s="848" t="str">
        <f>Datos!A18</f>
        <v>TOTAL</v>
      </c>
      <c r="B18" s="849">
        <f>Datos!AP18</f>
        <v>7</v>
      </c>
      <c r="C18" s="851">
        <f>Datos!AR18</f>
        <v>7</v>
      </c>
      <c r="D18" s="849">
        <f>SUBTOTAL(9,D15:D17)</f>
        <v>279</v>
      </c>
      <c r="E18" s="850">
        <f t="shared" si="3"/>
        <v>39.857142857142854</v>
      </c>
      <c r="F18" s="849">
        <f>SUBTOTAL(9,F15:F17)</f>
        <v>1093</v>
      </c>
      <c r="G18" s="850">
        <f t="shared" si="4"/>
        <v>156.14285714285714</v>
      </c>
      <c r="H18" s="849">
        <f>SUBTOTAL(9,H15:H17)</f>
        <v>22</v>
      </c>
      <c r="I18" s="850">
        <f>IF(ISNUMBER(H18/B18),H18/B18," - ")</f>
        <v>3.1428571428571428</v>
      </c>
      <c r="BZ18" s="1186"/>
    </row>
    <row r="19" spans="1:78" ht="14.25" thickTop="1" thickBot="1">
      <c r="A19" s="793" t="str">
        <f>Datos!A19</f>
        <v>TOTAL JURISDICCIONES</v>
      </c>
      <c r="B19" s="794">
        <f>Datos!AP19</f>
        <v>7</v>
      </c>
      <c r="C19" s="794">
        <f>Datos!AR19</f>
        <v>7</v>
      </c>
      <c r="D19" s="794">
        <f>SUBTOTAL(9,D8:D18)</f>
        <v>816</v>
      </c>
      <c r="E19" s="795">
        <f>IF(ISNUMBER(D19/B19),D19/B19," - ")</f>
        <v>116.57142857142857</v>
      </c>
      <c r="F19" s="794">
        <f>SUBTOTAL(9,F8:F18)</f>
        <v>1935</v>
      </c>
      <c r="G19" s="795">
        <f>IF(ISNUMBER(F19/B19),F19/B19," - ")</f>
        <v>276.42857142857144</v>
      </c>
      <c r="H19" s="794">
        <f>SUBTOTAL(9,H8:H18)</f>
        <v>733</v>
      </c>
      <c r="I19" s="795">
        <f>IF(ISNUMBER(H19/B19),H19/B19," - ")</f>
        <v>104.71428571428571</v>
      </c>
    </row>
    <row r="22" spans="1:78">
      <c r="A22" s="391" t="str">
        <f>Criterios!A4</f>
        <v>Fecha Informe: 24 sep. 2025</v>
      </c>
    </row>
    <row r="27" spans="1:78">
      <c r="A27" s="414"/>
    </row>
  </sheetData>
  <sheetProtection algorithmName="SHA-512" hashValue="ZGuT8Fo7RFudNNHV18NMH9qUMjSiKVBJ/DU4rLeYD3z1Q2tH9epiVqB9lykfqcnnWVx2W6JoUFwODSi2kVcUkg==" saltValue="x5I9KE0wwjx0s66FII23+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ALMERIA</v>
      </c>
    </row>
    <row r="4" spans="1:4" ht="13.5" thickBot="1">
      <c r="B4" s="391" t="str">
        <f>Criterios!A11 &amp;"  "&amp;Criterios!B11</f>
        <v>Resumenes por Partidos Judiciales  ROQUETAS DE MAR</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11</v>
      </c>
      <c r="D10" s="408">
        <f>IF(ISNUMBER(Datos!R10),Datos!R10," - ")</f>
        <v>46</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478</v>
      </c>
      <c r="C12" s="434">
        <f>IF(ISNUMBER(Datos!Q12),Datos!Q12," - ")</f>
        <v>863</v>
      </c>
      <c r="D12" s="408">
        <f>IF(ISNUMBER(Datos!R12),Datos!R12," - ")</f>
        <v>8785</v>
      </c>
    </row>
    <row r="13" spans="1:4" ht="14.25" thickTop="1" thickBot="1">
      <c r="A13" s="848" t="str">
        <f>Datos!A13</f>
        <v>TOTAL</v>
      </c>
      <c r="B13" s="849">
        <f>SUBTOTAL(9,B9:B12)</f>
        <v>480</v>
      </c>
      <c r="C13" s="853">
        <f>SUBTOTAL(9,C9:C12)</f>
        <v>874</v>
      </c>
      <c r="D13" s="851">
        <f>SUBTOTAL(9,D9:D12)</f>
        <v>8831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45</v>
      </c>
      <c r="C16" s="434">
        <f>IF(ISNUMBER(Datos!Q16),Datos!Q16," - ")</f>
        <v>50</v>
      </c>
      <c r="D16" s="408">
        <f>IF(ISNUMBER(Datos!R16),Datos!R16," - ")</f>
        <v>276</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45</v>
      </c>
      <c r="C18" s="853">
        <f>SUBTOTAL(9,C15:C17)</f>
        <v>50</v>
      </c>
      <c r="D18" s="851">
        <f>SUBTOTAL(9,D15:D17)</f>
        <v>276</v>
      </c>
    </row>
    <row r="19" spans="1:4" ht="16.5" customHeight="1" thickTop="1" thickBot="1">
      <c r="A19" s="793" t="str">
        <f>Datos!A19</f>
        <v>TOTAL JURISDICCIONES</v>
      </c>
      <c r="B19" s="798">
        <f>SUBTOTAL(9,B8:B18)</f>
        <v>525</v>
      </c>
      <c r="C19" s="799">
        <f>SUBTOTAL(9,C8:C18)</f>
        <v>924</v>
      </c>
      <c r="D19" s="800">
        <f>SUBTOTAL(9,D8:D18)</f>
        <v>9107</v>
      </c>
    </row>
    <row r="20" spans="1:4" ht="7.5" customHeight="1"/>
    <row r="21" spans="1:4" ht="6" customHeight="1"/>
    <row r="22" spans="1:4">
      <c r="A22" s="391" t="str">
        <f>Criterios!A4</f>
        <v>Fecha Informe: 24 sep. 2025</v>
      </c>
    </row>
    <row r="27" spans="1:4">
      <c r="A27" s="414"/>
    </row>
  </sheetData>
  <sheetProtection algorithmName="SHA-512" hashValue="OeV2VjInGDPx4MVLyusYmc4BFBmIKW74yG9ePZOxGE3b0vIE0QDnicVDZ6/Fvbc6iY+nN5uKFgBBUZfyUfuAnQ==" saltValue="bvf3ng6JxwcvXCSfiRmR3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ALMERIA</v>
      </c>
    </row>
    <row r="4" spans="1:11" ht="10.5" customHeight="1" thickBot="1">
      <c r="B4" s="391" t="str">
        <f>Criterios!A11 &amp;"  "&amp;Criterios!B11</f>
        <v>Resumenes por Partidos Judiciales  ROQUETAS DE MAR</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-0.2780487804878049</v>
      </c>
      <c r="C10" s="456">
        <f>IF(ISNUMBER((Datos!J10-Datos!T10)/Datos!T10),(Datos!J10-Datos!T10)/Datos!T10," - ")</f>
        <v>-0.2857142857142857</v>
      </c>
      <c r="D10" s="456">
        <f>IF(ISNUMBER((Datos!K10-Datos!U10)/Datos!U10),(Datos!K10-Datos!U10)/Datos!U10," - ")</f>
        <v>0.40740740740740738</v>
      </c>
      <c r="E10" s="456">
        <f>IF(ISNUMBER((Datos!L10-Datos!V10)/Datos!V10),(Datos!L10-Datos!V10)/Datos!V10," - ")</f>
        <v>-0.37185929648241206</v>
      </c>
      <c r="F10" s="456">
        <f>IF(ISNUMBER((Datos!M10-Datos!W10)/Datos!W10),(Datos!M10-Datos!W10)/Datos!W10," - ")</f>
        <v>0.3125</v>
      </c>
      <c r="G10" s="457">
        <f>IF(ISNUMBER((Datos!N10-Datos!X10)/Datos!X10),(Datos!N10-Datos!X10)/Datos!X10," - ")</f>
        <v>-0.6</v>
      </c>
      <c r="H10" s="455">
        <f>IF(ISNUMBER(((NºAsuntos!G10/NºAsuntos!E10)-Datos!BD10)/Datos!BD10),((NºAsuntos!G10/NºAsuntos!E10)-Datos!BD10)/Datos!BD10," - ")</f>
        <v>0.97037037037037011</v>
      </c>
      <c r="I10" s="456">
        <f>IF(ISNUMBER(((NºAsuntos!I10/NºAsuntos!G10)-Datos!BE10)/Datos!BE10),((NºAsuntos!I10/NºAsuntos!G10)-Datos!BE10)/Datos!BE10," - ")</f>
        <v>-0.55368950013224028</v>
      </c>
      <c r="J10" s="461">
        <f>IF(ISNUMBER((('Resol  Asuntos'!D10/NºAsuntos!G10)-Datos!BF10)/Datos!BF10),(('Resol  Asuntos'!D10/NºAsuntos!G10)-Datos!BF10)/Datos!BF10," - ")</f>
        <v>-6.7434210526315652E-2</v>
      </c>
      <c r="K10" s="462">
        <f>IF(ISNUMBER((((NºAsuntos!C10+NºAsuntos!E10)/NºAsuntos!G10)-Datos!BG10)/Datos!BG10),(((NºAsuntos!C10+NºAsuntos!E10)/NºAsuntos!G10)-Datos!BG10)/Datos!BG10," - ")</f>
        <v>-0.48754075454122026</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0.48143285821455362</v>
      </c>
      <c r="C12" s="456">
        <f>IF(ISNUMBER(
   IF(J_V="SI",(Datos!J12-Datos!T12)/Datos!T12,(Datos!J12+Datos!Z12-(Datos!T12+Datos!AH12))/(Datos!T12+Datos!AH12))
     ),IF(J_V="SI",(Datos!J12-Datos!T12)/Datos!T12,(Datos!J12+Datos!Z12-(Datos!T12+Datos!AH12))/(Datos!T12+Datos!AH12))," - ")</f>
        <v>-7.3559670781893002E-2</v>
      </c>
      <c r="D12" s="456">
        <f>IF(ISNUMBER(
   IF(J_V="SI",(Datos!K12-Datos!U12)/Datos!U12,(Datos!K12+Datos!AA12-(Datos!U12+Datos!AI12))/(Datos!U12+Datos!AI12))
     ),IF(J_V="SI",(Datos!K12-Datos!U12)/Datos!U12,(Datos!K12+Datos!AA12-(Datos!U12+Datos!AI12))/(Datos!U12+Datos!AI12))," - ")</f>
        <v>9.3801426220515627E-2</v>
      </c>
      <c r="E12" s="456">
        <f>IF(ISNUMBER(
   IF(J_V="SI",(Datos!L12-Datos!V12)/Datos!V12,(Datos!L12+Datos!AB12-(Datos!V12+Datos!AJ12))/(Datos!V12+Datos!AJ12))
     ),IF(J_V="SI",(Datos!L12-Datos!V12)/Datos!V12,(Datos!L12+Datos!AB12-(Datos!V12+Datos!AJ12))/(Datos!V12+Datos!AJ12))," - ")</f>
        <v>0.29955646537018082</v>
      </c>
      <c r="F12" s="456">
        <f>IF(ISNUMBER((Datos!M12-Datos!W12)/Datos!W12),(Datos!M12-Datos!W12)/Datos!W12," - ")</f>
        <v>0.23444976076555024</v>
      </c>
      <c r="G12" s="457">
        <f>IF(ISNUMBER((Datos!N12-Datos!X12)/Datos!X12),(Datos!N12-Datos!X12)/Datos!X12," - ")</f>
        <v>0.59013282732447814</v>
      </c>
      <c r="H12" s="455">
        <f>IF(ISNUMBER(((NºAsuntos!G12/NºAsuntos!E12)-Datos!BD12)/Datos!BD12),((NºAsuntos!G12/NºAsuntos!E12)-Datos!BD12)/Datos!BD12," - ")</f>
        <v>0.18064962386045649</v>
      </c>
      <c r="I12" s="456">
        <f>IF(ISNUMBER(((NºAsuntos!I12/NºAsuntos!G12)-Datos!BE12)/Datos!BE12),((NºAsuntos!I12/NºAsuntos!G12)-Datos!BE12)/Datos!BE12," - ")</f>
        <v>0.18811004832990944</v>
      </c>
      <c r="J12" s="461">
        <f>IF(ISNUMBER((('Resol  Asuntos'!D12/NºAsuntos!G12)-Datos!BF12)/Datos!BF12),(('Resol  Asuntos'!D12/NºAsuntos!G12)-Datos!BF12)/Datos!BF12," - ")</f>
        <v>-0.10484013710962099</v>
      </c>
      <c r="K12" s="462">
        <f>IF(ISNUMBER((((NºAsuntos!C12+NºAsuntos!E12)/NºAsuntos!G12)-Datos!BG12)/Datos!BG12),(((NºAsuntos!C12+NºAsuntos!E12)/NºAsuntos!G12)-Datos!BG12)/Datos!BG12," - ")</f>
        <v>0.21882276847033683</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0.45331406899042803</v>
      </c>
      <c r="C13" s="855">
        <f>IF(ISNUMBER(
   IF(J_V="SI",(Datos!J13-Datos!T13)/Datos!T13,(Datos!J13+Datos!Z13-(Datos!T13+Datos!AH13))/(Datos!T13+Datos!AH13))
     ),IF(J_V="SI",(Datos!J13-Datos!T13)/Datos!T13,(Datos!J13+Datos!Z13-(Datos!T13+Datos!AH13))/(Datos!T13+Datos!AH13))," - ")</f>
        <v>-7.5826972010178115E-2</v>
      </c>
      <c r="D13" s="855">
        <f>IF(ISNUMBER(
   IF(J_V="SI",(Datos!K13-Datos!U13)/Datos!U13,(Datos!K13+Datos!AA13-(Datos!U13+Datos!AI13))/(Datos!U13+Datos!AI13))
     ),IF(J_V="SI",(Datos!K13-Datos!U13)/Datos!U13,(Datos!K13+Datos!AA13-(Datos!U13+Datos!AI13))/(Datos!U13+Datos!AI13))," - ")</f>
        <v>9.8378378378378373E-2</v>
      </c>
      <c r="E13" s="855">
        <f>IF(ISNUMBER(
   IF(J_V="SI",(Datos!L13-Datos!V13)/Datos!V13,(Datos!L13+Datos!AB13-(Datos!V13+Datos!AJ13))/(Datos!V13+Datos!AJ13))
     ),IF(J_V="SI",(Datos!L13-Datos!V13)/Datos!V13,(Datos!L13+Datos!AB13-(Datos!V13+Datos!AJ13))/(Datos!V13+Datos!AJ13))," - ")</f>
        <v>0.27751196172248804</v>
      </c>
      <c r="F13" s="856">
        <f>IF(ISNUMBER((Datos!M13-Datos!W13)/Datos!W13),(Datos!M13-Datos!W13)/Datos!W13," - ")</f>
        <v>0.23732718894009217</v>
      </c>
      <c r="G13" s="857">
        <f>IF(ISNUMBER((Datos!N13-Datos!X13)/Datos!X13),(Datos!N13-Datos!X13)/Datos!X13," - ")</f>
        <v>0.56797020484171323</v>
      </c>
      <c r="H13" s="857">
        <f>IF(ISNUMBER(((NºAsuntos!G13/NºAsuntos!E13)-Datos!BD13)/Datos!BD13),((NºAsuntos!G13/NºAsuntos!E13)-Datos!BD13)/Datos!BD13," - ")</f>
        <v>0.18849863078937976</v>
      </c>
      <c r="I13" s="857">
        <f>IF(ISNUMBER(((NºAsuntos!I13/NºAsuntos!G13)-Datos!BE13)/Datos!BE13),((NºAsuntos!I13/NºAsuntos!G13)-Datos!BE13)/Datos!BE13," - ")</f>
        <v>0.16308913837923367</v>
      </c>
      <c r="J13" s="857">
        <f>IF(ISNUMBER((('Resol  Asuntos'!D13/NºAsuntos!G13)-Datos!BF13)/Datos!BF13),(('Resol  Asuntos'!D13/NºAsuntos!G13)-Datos!BF13)/Datos!BF13," - ")</f>
        <v>-9.9626963066080917E-2</v>
      </c>
      <c r="K13" s="857">
        <f>IF(ISNUMBER((((NºAsuntos!C13+NºAsuntos!E13)/NºAsuntos!G13)-Datos!BG13)/Datos!BG13),(((NºAsuntos!C13+NºAsuntos!E13)/NºAsuntos!G13)-Datos!BG13)/Datos!BG13," - ")</f>
        <v>0.19696099412859996</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0.40850642927794262</v>
      </c>
      <c r="C16" s="456">
        <f>IF(ISNUMBER(
   IF(D_I="SI",(Datos!J16-Datos!T16)/Datos!T16,(Datos!J16+Datos!AD16-(Datos!T16+Datos!AL16))/(Datos!T16+Datos!AL16))
     ),IF(D_I="SI",(Datos!J16-Datos!T16)/Datos!T16,(Datos!J16+Datos!AD16-(Datos!T16+Datos!AL16))/(Datos!T16+Datos!AL16))," - ")</f>
        <v>-1.5258855585831062E-2</v>
      </c>
      <c r="D16" s="456">
        <f>IF(ISNUMBER(
   IF(D_I="SI",(Datos!K16-Datos!U16)/Datos!U16,(Datos!K16+Datos!AE16-(Datos!U16+Datos!AM16))/(Datos!U16+Datos!AM16))
     ),IF(D_I="SI",(Datos!K16-Datos!U16)/Datos!U16,(Datos!K16+Datos!AE16-(Datos!U16+Datos!AM16))/(Datos!U16+Datos!AM16))," - ")</f>
        <v>6.0546875E-2</v>
      </c>
      <c r="E16" s="456">
        <f>IF(ISNUMBER(
   IF(D_I="SI",(Datos!L16-Datos!V16)/Datos!V16,(Datos!L16+Datos!AF16-(Datos!V16+Datos!AN16))/(Datos!V16+Datos!AN16))
     ),IF(D_I="SI",(Datos!L16-Datos!V16)/Datos!V16,(Datos!L16+Datos!AF16-(Datos!V16+Datos!AN16))/(Datos!V16+Datos!AN16))," - ")</f>
        <v>0.23399918467183042</v>
      </c>
      <c r="F16" s="456">
        <f>IF(ISNUMBER((Datos!M16-Datos!W16)/Datos!W16),(Datos!M16-Datos!W16)/Datos!W16," - ")</f>
        <v>0.10714285714285714</v>
      </c>
      <c r="G16" s="457">
        <f>IF(ISNUMBER((Datos!N16-Datos!X16)/Datos!X16),(Datos!N16-Datos!X16)/Datos!X16," - ")</f>
        <v>0.19247787610619468</v>
      </c>
      <c r="H16" s="455">
        <f>IF(ISNUMBER(((NºAsuntos!G16/NºAsuntos!E16)-Datos!BD16)/Datos!BD16),((NºAsuntos!G16/NºAsuntos!E16)-Datos!BD16)/Datos!BD16," - ")</f>
        <v>7.6980362825124424E-2</v>
      </c>
      <c r="I16" s="456">
        <f>IF(ISNUMBER(((NºAsuntos!I16/NºAsuntos!G16)-Datos!BE16)/Datos!BE16),((NºAsuntos!I16/NºAsuntos!G16)-Datos!BE16)/Datos!BE16," - ")</f>
        <v>0.16354987578633004</v>
      </c>
      <c r="J16" s="461">
        <f>IF(ISNUMBER((('Resol  Asuntos'!D16/NºAsuntos!G16)-Datos!BF16)/Datos!BF16),(('Resol  Asuntos'!D16/NºAsuntos!G16)-Datos!BF16)/Datos!BF16," - ")</f>
        <v>4.3935806366745635E-2</v>
      </c>
      <c r="K16" s="462">
        <f>IF(ISNUMBER((((NºAsuntos!C16+NºAsuntos!E16)/NºAsuntos!G16)-Datos!BG16)/Datos!BG16),(((NºAsuntos!C16+NºAsuntos!E16)/NºAsuntos!G16)-Datos!BG16)/Datos!BG16," - ")</f>
        <v>0.13799453864228098</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v>
      </c>
      <c r="C17" s="456">
        <f>IF(ISNUMBER(
   IF(D_I="SI",(Datos!J17-Datos!T17)/Datos!T17,(Datos!J17+Datos!AD17-(Datos!T17+Datos!AL17))/(Datos!T17+Datos!AL17))
     ),IF(D_I="SI",(Datos!J17-Datos!T17)/Datos!T17,(Datos!J17+Datos!AD17-(Datos!T17+Datos!AL17))/(Datos!T17+Datos!AL17))," - ")</f>
        <v>-0.63157894736842102</v>
      </c>
      <c r="D17" s="456">
        <f>IF(ISNUMBER(
   IF(D_I="SI",(Datos!K17-Datos!U17)/Datos!U17,(Datos!K17+Datos!AE17-(Datos!U17+Datos!AM17))/(Datos!U17+Datos!AM17))
     ),IF(D_I="SI",(Datos!K17-Datos!U17)/Datos!U17,(Datos!K17+Datos!AE17-(Datos!U17+Datos!AM17))/(Datos!U17+Datos!AM17))," - ")</f>
        <v>-0.19607843137254902</v>
      </c>
      <c r="E17" s="456">
        <f>IF(ISNUMBER(
   IF(D_I="SI",(Datos!L17-Datos!V17)/Datos!V17,(Datos!L17+Datos!AF17-(Datos!V17+Datos!AN17))/(Datos!V17+Datos!AN17))
     ),IF(D_I="SI",(Datos!L17-Datos!V17)/Datos!V17,(Datos!L17+Datos!AF17-(Datos!V17+Datos!AN17))/(Datos!V17+Datos!AN17))," - ")</f>
        <v>-0.58823529411764708</v>
      </c>
      <c r="F17" s="456" t="str">
        <f>IF(ISNUMBER((Datos!M17-Datos!W17)/Datos!W17),(Datos!M17-Datos!W17)/Datos!W17," - ")</f>
        <v xml:space="preserve"> - </v>
      </c>
      <c r="G17" s="457">
        <f>IF(ISNUMBER((Datos!N17-Datos!X17)/Datos!X17),(Datos!N17-Datos!X17)/Datos!X17," - ")</f>
        <v>0.15384615384615385</v>
      </c>
      <c r="H17" s="455">
        <f>IF(ISNUMBER(((NºAsuntos!G17/NºAsuntos!E17)-Datos!BD17)/Datos!BD17),((NºAsuntos!G17/NºAsuntos!E17)-Datos!BD17)/Datos!BD17," - ")</f>
        <v>1.1820728291316527</v>
      </c>
      <c r="I17" s="456">
        <f>IF(ISNUMBER(((NºAsuntos!I17/NºAsuntos!G17)-Datos!BE17)/Datos!BE17),((NºAsuntos!I17/NºAsuntos!G17)-Datos!BE17)/Datos!BE17," - ")</f>
        <v>-0.48780487804878048</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-0.3902439024390244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0.31355181576616475</v>
      </c>
      <c r="C18" s="855">
        <f>IF(ISNUMBER(
   IF(Criterios!B14="SI",(Datos!J18-Datos!T18)/Datos!T18,(Datos!J18+Datos!AD18-(Datos!T18+Datos!AL18))/(Datos!T18+Datos!AL18))
     ),IF(Criterios!B14="SI",(Datos!J18-Datos!T18)/Datos!T18,(Datos!J18+Datos!AD18-(Datos!T18+Datos!AL18))/(Datos!T18+Datos!AL18))," - ")</f>
        <v>-2.1574973031283712E-2</v>
      </c>
      <c r="D18" s="855">
        <f>IF(ISNUMBER(
   IF(Criterios!B14="SI",(Datos!K18-Datos!U18)/Datos!U18,(Datos!K18+Datos!AE18-(Datos!U18+Datos!AM18))/(Datos!U18+Datos!AM18))
     ),IF(Criterios!B14="SI",(Datos!K18-Datos!U18)/Datos!U18,(Datos!K18+Datos!AE18-(Datos!U18+Datos!AM18))/(Datos!U18+Datos!AM18))," - ")</f>
        <v>5.2299936988027727E-2</v>
      </c>
      <c r="E18" s="855">
        <f>IF(ISNUMBER(
   IF(Criterios!B14="SI",(Datos!L18-Datos!V18)/Datos!V18,(Datos!L18+Datos!AF18-(Datos!V18+Datos!AN18))/(Datos!V18+Datos!AN18))
     ),IF(Criterios!B14="SI",(Datos!L18-Datos!V18)/Datos!V18,(Datos!L18+Datos!AF18-(Datos!V18+Datos!AN18))/(Datos!V18+Datos!AN18))," - ")</f>
        <v>0.17086940158073013</v>
      </c>
      <c r="F18" s="856">
        <f>IF(ISNUMBER((Datos!M18-Datos!W18)/Datos!W18),(Datos!M18-Datos!W18)/Datos!W18," - ")</f>
        <v>0.10714285714285714</v>
      </c>
      <c r="G18" s="857">
        <f>IF(ISNUMBER((Datos!N18-Datos!X18)/Datos!X18),(Datos!N18-Datos!X18)/Datos!X18," - ")</f>
        <v>0.19193020719738277</v>
      </c>
      <c r="H18" s="857">
        <f>IF(ISNUMBER(((NºAsuntos!G18/NºAsuntos!E18)-Datos!BD18)/Datos!BD18),((NºAsuntos!G18/NºAsuntos!E18)-Datos!BD18)/Datos!BD18," - ")</f>
        <v>7.5503904727565227E-2</v>
      </c>
      <c r="I18" s="857">
        <f>IF(ISNUMBER(((NºAsuntos!I18/NºAsuntos!G18)-Datos!BE18)/Datos!BE18),((NºAsuntos!I18/NºAsuntos!G18)-Datos!BE18)/Datos!BE18," - ")</f>
        <v>0.11267649120276579</v>
      </c>
      <c r="J18" s="857">
        <f>IF(ISNUMBER((('Resol  Asuntos'!D18/NºAsuntos!G18)-Datos!BF18)/Datos!BF18),(('Resol  Asuntos'!D18/NºAsuntos!G18)-Datos!BF18)/Datos!BF18," - ")</f>
        <v>5.2117194183062522E-2</v>
      </c>
      <c r="K18" s="857">
        <f>IF(ISNUMBER((((NºAsuntos!C18+NºAsuntos!E18)/NºAsuntos!G18)-Datos!BG18)/Datos!BG18),(((NºAsuntos!C18+NºAsuntos!E18)/NºAsuntos!G18)-Datos!BG18)/Datos!BG18," - ")</f>
        <v>0.10467683310421962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0.4128287363694676</v>
      </c>
      <c r="C19" s="802">
        <f>IF(ISNUMBER(
   IF(J_V="SI",(Datos!J19-Datos!T19)/Datos!T19,(Datos!J19+Datos!Z19-(Datos!T19+Datos!AH19))/(Datos!T19+Datos!AH19))
     ),IF(J_V="SI",(Datos!J19-Datos!T19)/Datos!T19,(Datos!J19+Datos!Z19-(Datos!T19+Datos!AH19))/(Datos!T19+Datos!AH19))," - ")</f>
        <v>-4.9489395129615081E-2</v>
      </c>
      <c r="D19" s="802">
        <f>IF(ISNUMBER(
   IF(J_V="SI",(Datos!K19-Datos!U19)/Datos!U19,(Datos!K19+Datos!AA19-(Datos!U19+Datos!AI19))/(Datos!U19+Datos!AI19))
     ),IF(J_V="SI",(Datos!K19-Datos!U19)/Datos!U19,(Datos!K19+Datos!AA19-(Datos!U19+Datos!AI19))/(Datos!U19+Datos!AI19))," - ")</f>
        <v>7.7102123945301138E-2</v>
      </c>
      <c r="E19" s="802">
        <f>IF(ISNUMBER(
   IF(J_V="SI",(Datos!L19-Datos!V19)/Datos!V19,(Datos!L19+Datos!AB19-(Datos!V19+Datos!AJ19))/(Datos!V19+Datos!AJ19))
     ),IF(J_V="SI",(Datos!L19-Datos!V19)/Datos!V19,(Datos!L19+Datos!AB19-(Datos!V19+Datos!AJ19))/(Datos!V19+Datos!AJ19))," - ")</f>
        <v>0.24501032346868548</v>
      </c>
      <c r="F19" s="803">
        <f>IF(ISNUMBER((Datos!M19-Datos!W19)/Datos!W19),(Datos!M19-Datos!W19)/Datos!W19," - ")</f>
        <v>0.18950437317784258</v>
      </c>
      <c r="G19" s="804">
        <f>IF(ISNUMBER((Datos!N19-Datos!X19)/Datos!X19),(Datos!N19-Datos!X19)/Datos!X19," - ")</f>
        <v>0.33081155433287485</v>
      </c>
      <c r="H19" s="805">
        <f>IF(ISNUMBER((Tasas!B19-Datos!BD19)/Datos!BD19),(Tasas!B19-Datos!BD19)/Datos!BD19," - ")</f>
        <v>0.13318264775402347</v>
      </c>
      <c r="I19" s="806">
        <f>IF(ISNUMBER((Tasas!C19-Datos!BE19)/Datos!BE19),(Tasas!C19-Datos!BE19)/Datos!BE19," - ")</f>
        <v>0.15588883894161859</v>
      </c>
      <c r="J19" s="807">
        <f>IF(ISNUMBER((Tasas!D19-Datos!BF19)/Datos!BF19),(Tasas!D19-Datos!BF19)/Datos!BF19," - ")</f>
        <v>-4.7058703607433049E-2</v>
      </c>
      <c r="K19" s="807">
        <f>IF(ISNUMBER((Tasas!E19-Datos!BG19)/Datos!BG19),(Tasas!E19-Datos!BG19)/Datos!BG19," - ")</f>
        <v>0.17055374402826295</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37ldhCtzCc7v8cx8fvP+LRipXk2x/p7RbwIYe75qstlFheXtdCr8zRAwvqiN32JAGRMImpSwq/TmlDSzUjqaKA==" saltValue="vTnYKWb++w8cQSOtQWmZW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ALMERIA</v>
      </c>
    </row>
    <row r="4" spans="1:7" ht="11.25" customHeight="1" thickBot="1">
      <c r="B4" s="391" t="str">
        <f>Criterios!A11 &amp;"  "&amp;Criterios!B11</f>
        <v>Resumenes por Partidos Judiciales  ROQUETAS DE MAR</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2.5333333333333332</v>
      </c>
      <c r="C10" s="443">
        <f>IF(ISNUMBER(NºAsuntos!I10/NºAsuntos!G10),NºAsuntos!I10/NºAsuntos!G10," - ")</f>
        <v>3.2894736842105261</v>
      </c>
      <c r="D10" s="444">
        <f>IF(ISNUMBER('Resol  Asuntos'!D10/NºAsuntos!G10),'Resol  Asuntos'!D10/NºAsuntos!G10," - ")</f>
        <v>0.55263157894736847</v>
      </c>
      <c r="E10" s="445">
        <f>IF(ISNUMBER((NºAsuntos!C10+NºAsuntos!E10)/NºAsuntos!G10),(NºAsuntos!C10+NºAsuntos!E10)/NºAsuntos!G10," - ")</f>
        <v>4.2894736842105265</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1.1071626873958911</v>
      </c>
      <c r="C12" s="443">
        <f>IF(ISNUMBER(NºAsuntos!I12/NºAsuntos!G12),NºAsuntos!I12/NºAsuntos!G12," - ")</f>
        <v>3.8204613841524573</v>
      </c>
      <c r="D12" s="444">
        <f>IF(ISNUMBER('Resol  Asuntos'!D12/NºAsuntos!G12),'Resol  Asuntos'!D12/NºAsuntos!G12," - ")</f>
        <v>0.2587763289869609</v>
      </c>
      <c r="E12" s="445">
        <f>IF(ISNUMBER((NºAsuntos!C12+NºAsuntos!E12)/NºAsuntos!G12),(NºAsuntos!C12+NºAsuntos!E12)/NºAsuntos!G12," - ")</f>
        <v>4.8645937813440323</v>
      </c>
      <c r="G12" s="463"/>
    </row>
    <row r="13" spans="1:7" ht="14.25" thickTop="1" thickBot="1">
      <c r="A13" s="848" t="str">
        <f>Datos!A13</f>
        <v>TOTAL</v>
      </c>
      <c r="B13" s="858">
        <f>IF(ISNUMBER(NºAsuntos!G13/NºAsuntos!E13),NºAsuntos!G13/NºAsuntos!E13," - ")</f>
        <v>1.1189427312775331</v>
      </c>
      <c r="C13" s="859">
        <f>IF(ISNUMBER(NºAsuntos!I13/NºAsuntos!G13),NºAsuntos!I13/NºAsuntos!G13," - ")</f>
        <v>3.8105314960629921</v>
      </c>
      <c r="D13" s="860">
        <f>IF(ISNUMBER('Resol  Asuntos'!D13/NºAsuntos!G13),'Resol  Asuntos'!D13/NºAsuntos!G13," - ")</f>
        <v>0.26427165354330706</v>
      </c>
      <c r="E13" s="861">
        <f>IF(ISNUMBER((NºAsuntos!C13+NºAsuntos!E13)/NºAsuntos!G13),(NºAsuntos!C13+NºAsuntos!E13)/NºAsuntos!G13," - ")</f>
        <v>4.8538385826771657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0.9014941892639734</v>
      </c>
      <c r="C16" s="443">
        <f>IF(ISNUMBER(NºAsuntos!I16/NºAsuntos!G16),NºAsuntos!I16/NºAsuntos!G16," - ")</f>
        <v>1.858195211786372</v>
      </c>
      <c r="D16" s="444">
        <f>IF(ISNUMBER('Resol  Asuntos'!D16/NºAsuntos!G16),'Resol  Asuntos'!D16/NºAsuntos!G16," - ")</f>
        <v>0.17127071823204421</v>
      </c>
      <c r="E16" s="445">
        <f>IF(ISNUMBER((NºAsuntos!C16+NºAsuntos!E16)/NºAsuntos!G16),(NºAsuntos!C16+NºAsuntos!E16)/NºAsuntos!G16," - ")</f>
        <v>2.8575813382443216</v>
      </c>
      <c r="G16" s="463"/>
    </row>
    <row r="17" spans="1:7" ht="13.5" thickBot="1">
      <c r="A17" s="402" t="str">
        <f>Datos!A17</f>
        <v>Jdos. Violencia contra la mujer</v>
      </c>
      <c r="B17" s="442">
        <f>IF(ISNUMBER(NºAsuntos!G17/NºAsuntos!E17),NºAsuntos!G17/NºAsuntos!E17," - ")</f>
        <v>5.8571428571428568</v>
      </c>
      <c r="C17" s="443">
        <f>IF(ISNUMBER(NºAsuntos!I17/NºAsuntos!G17),NºAsuntos!I17/NºAsuntos!G17," - ")</f>
        <v>2.0487804878048781</v>
      </c>
      <c r="D17" s="444">
        <f>IF(ISNUMBER('Resol  Asuntos'!D17/NºAsuntos!G17),'Resol  Asuntos'!D17/NºAsuntos!G17," - ")</f>
        <v>0</v>
      </c>
      <c r="E17" s="445">
        <f>IF(ISNUMBER((NºAsuntos!C17+NºAsuntos!E17)/NºAsuntos!G17),(NºAsuntos!C17+NºAsuntos!E17)/NºAsuntos!G17," - ")</f>
        <v>3.0487804878048781</v>
      </c>
      <c r="G17" s="463"/>
    </row>
    <row r="18" spans="1:7" ht="14.25" thickTop="1" thickBot="1">
      <c r="A18" s="848" t="str">
        <f>Datos!A18</f>
        <v>TOTAL</v>
      </c>
      <c r="B18" s="858">
        <f>IF(ISNUMBER(NºAsuntos!G18/NºAsuntos!E18),NºAsuntos!G18/NºAsuntos!E18," - ")</f>
        <v>0.9206174200661521</v>
      </c>
      <c r="C18" s="859">
        <f>IF(ISNUMBER(NºAsuntos!I18/NºAsuntos!G18),NºAsuntos!I18/NºAsuntos!G18," - ")</f>
        <v>1.862874251497006</v>
      </c>
      <c r="D18" s="862">
        <f>IF(ISNUMBER('Resol  Asuntos'!D18/NºAsuntos!G18),'Resol  Asuntos'!D18/NºAsuntos!G18," - ")</f>
        <v>0.16706586826347306</v>
      </c>
      <c r="E18" s="861">
        <f>IF(ISNUMBER((NºAsuntos!C18+NºAsuntos!E18)/NºAsuntos!G18),(NºAsuntos!C18+NºAsuntos!E18)/NºAsuntos!G18," - ")</f>
        <v>2.8622754491017965</v>
      </c>
      <c r="G18" s="463"/>
    </row>
    <row r="19" spans="1:7" ht="15.75" customHeight="1" thickTop="1" thickBot="1">
      <c r="A19" s="793" t="str">
        <f>Datos!A19</f>
        <v>TOTAL JURISDICCIONES</v>
      </c>
      <c r="B19" s="808">
        <f>IF(ISNUMBER(NºAsuntos!G19/NºAsuntos!E19),NºAsuntos!G19/NºAsuntos!E19," - ")</f>
        <v>1.0198347107438017</v>
      </c>
      <c r="C19" s="809">
        <f>IF(ISNUMBER(NºAsuntos!I19/NºAsuntos!G19),NºAsuntos!I19/NºAsuntos!G19," - ")</f>
        <v>2.9319286871961103</v>
      </c>
      <c r="D19" s="810">
        <f>IF(ISNUMBER('Resol  Asuntos'!D19/NºAsuntos!G19),'Resol  Asuntos'!D19/NºAsuntos!G19," - ")</f>
        <v>0.22042139384116693</v>
      </c>
      <c r="E19" s="811">
        <f>IF(ISNUMBER((NºAsuntos!C19+NºAsuntos!E19)/NºAsuntos!G19),(NºAsuntos!C19+NºAsuntos!E19)/NºAsuntos!G19," - ")</f>
        <v>3.9554294975688817</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LU3TlPKaRlIZ7SdjeQjn210v14yB9BHifbtMQ6R1GoYTilmyqoBc7s0io4dM/qK4jQORbTzJtP02OWY6jJ7l5w==" saltValue="5JQmG7WyplzQILeSoxS7S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ALMERIA</v>
      </c>
      <c r="N2" s="262" t="str">
        <f>Criterios!A11 &amp;"  "&amp;Criterios!B11</f>
        <v>Resumenes por Partidos Judiciales  ROQUETAS DE MAR</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148</v>
      </c>
      <c r="G10" s="333">
        <f>IF(ISNUMBER(Datos!I10),Datos!I10," - ")</f>
        <v>148</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38</v>
      </c>
      <c r="X10" s="226">
        <f>IF(ISNUMBER(Datos!Q10),Datos!Q10," - ")</f>
        <v>11</v>
      </c>
      <c r="Y10" s="334">
        <f t="shared" ref="Y10:Y12" si="0">SUM(W10:X10)</f>
        <v>49</v>
      </c>
      <c r="Z10" s="335" t="str">
        <f>IF(ISNUMBER(Datos!CC10),Datos!CC10," - ")</f>
        <v xml:space="preserve"> - </v>
      </c>
      <c r="AA10" s="332">
        <f>IF(ISNUMBER(Datos!L10),Datos!L10,"-")</f>
        <v>125</v>
      </c>
      <c r="AB10" s="334">
        <f>IF(ISNUMBER(Datos!R10),Datos!R10," - ")</f>
        <v>46</v>
      </c>
      <c r="AC10" s="334">
        <f t="shared" ref="AC10:AC12" si="1">IF(ISNUMBER(AA10+AB10),AA10+AB10," - ")</f>
        <v>171</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21</v>
      </c>
      <c r="AJ10" s="231" t="str">
        <f>IF(ISNUMBER(Datos!BW10),Datos!BW10," - ")</f>
        <v xml:space="preserve"> - </v>
      </c>
      <c r="AK10" s="232" t="str">
        <f>IF(ISNUMBER(Datos!BX10),Datos!BX10," - ")</f>
        <v xml:space="preserve"> - </v>
      </c>
      <c r="AL10" s="243">
        <f>IF(ISNUMBER(NºAsuntos!G10/NºAsuntos!E10),NºAsuntos!G10/NºAsuntos!E10," - ")</f>
        <v>2.5333333333333332</v>
      </c>
      <c r="AM10" s="260">
        <f>IF(ISNUMBER(((NºAsuntos!I10/NºAsuntos!G10)*11)/factor_trimestre),((NºAsuntos!I10/NºAsuntos!G10)*11)/factor_trimestre," - ")</f>
        <v>9.8684210526315788</v>
      </c>
      <c r="AN10" s="244">
        <f>IF(ISNUMBER('Resol  Asuntos'!D10/NºAsuntos!G10),'Resol  Asuntos'!D10/NºAsuntos!G10," - ")</f>
        <v>0.55263157894736847</v>
      </c>
      <c r="AO10" s="245">
        <f>IF(ISNUMBER((NºAsuntos!C10+NºAsuntos!E10)/NºAsuntos!G10),(NºAsuntos!C10+NºAsuntos!E10)/NºAsuntos!G10," - ")</f>
        <v>4.2894736842105265</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7</v>
      </c>
      <c r="B12" s="275" t="s">
        <v>246</v>
      </c>
      <c r="C12" s="7" t="str">
        <f>Datos!A12</f>
        <v xml:space="preserve">Jdos. 1ª Instª. e Instr.                        </v>
      </c>
      <c r="D12" s="7"/>
      <c r="E12" s="1025">
        <f>IF(ISNUMBER(Datos!AQ12),Datos!AQ12," - ")</f>
        <v>7</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478</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863</v>
      </c>
      <c r="Y12" s="334">
        <f t="shared" si="0"/>
        <v>863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8785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516</v>
      </c>
      <c r="AJ12" s="229" t="str">
        <f>IF(ISNUMBER(Datos!BW12),Datos!BW12," - ")</f>
        <v xml:space="preserve"> - </v>
      </c>
      <c r="AK12" s="228" t="str">
        <f>IF(ISNUMBER(Datos!BX12),Datos!BX12," - ")</f>
        <v xml:space="preserve"> - </v>
      </c>
      <c r="AL12" s="243">
        <f>IF(ISNUMBER(NºAsuntos!G12/NºAsuntos!E12),NºAsuntos!G12/NºAsuntos!E12," - ")</f>
        <v>1.1071626873958911</v>
      </c>
      <c r="AM12" s="260">
        <f>IF(ISNUMBER(((NºAsuntos!I12/NºAsuntos!G12)*11)/factor_trimestre),((NºAsuntos!I12/NºAsuntos!G12)*11)/factor_trimestre," - ")</f>
        <v>11.461384152457372</v>
      </c>
      <c r="AN12" s="244">
        <f>IF(ISNUMBER('Resol  Asuntos'!D12/NºAsuntos!G12),'Resol  Asuntos'!D12/NºAsuntos!G12," - ")</f>
        <v>0.2587763289869609</v>
      </c>
      <c r="AO12" s="245">
        <f>IF(ISNUMBER((NºAsuntos!C12+NºAsuntos!E12)/NºAsuntos!G12),(NºAsuntos!C12+NºAsuntos!E12)/NºAsuntos!G12," - ")</f>
        <v>4.8645937813440323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7</v>
      </c>
      <c r="F13" s="865">
        <f t="shared" si="3"/>
        <v>148</v>
      </c>
      <c r="G13" s="866">
        <f t="shared" si="3"/>
        <v>148</v>
      </c>
      <c r="H13" s="865">
        <f t="shared" si="3"/>
        <v>0</v>
      </c>
      <c r="I13" s="867">
        <f t="shared" si="3"/>
        <v>0</v>
      </c>
      <c r="J13" s="867">
        <f t="shared" si="3"/>
        <v>0</v>
      </c>
      <c r="K13" s="867">
        <f t="shared" si="3"/>
        <v>0</v>
      </c>
      <c r="L13" s="867">
        <f t="shared" si="3"/>
        <v>480</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38</v>
      </c>
      <c r="X13" s="867">
        <f t="shared" si="4"/>
        <v>874</v>
      </c>
      <c r="Y13" s="868">
        <f t="shared" si="4"/>
        <v>912</v>
      </c>
      <c r="Z13" s="868">
        <f t="shared" si="4"/>
        <v>0</v>
      </c>
      <c r="AA13" s="868">
        <f t="shared" si="4"/>
        <v>125</v>
      </c>
      <c r="AB13" s="868">
        <f t="shared" si="4"/>
        <v>8831</v>
      </c>
      <c r="AC13" s="868">
        <f t="shared" si="4"/>
        <v>171</v>
      </c>
      <c r="AD13" s="868">
        <f t="shared" si="4"/>
        <v>0</v>
      </c>
      <c r="AE13" s="872">
        <f t="shared" si="4"/>
        <v>0</v>
      </c>
      <c r="AF13" s="865">
        <f t="shared" si="4"/>
        <v>0</v>
      </c>
      <c r="AG13" s="873">
        <f t="shared" si="4"/>
        <v>0</v>
      </c>
      <c r="AH13" s="870">
        <f t="shared" si="4"/>
        <v>0</v>
      </c>
      <c r="AI13" s="865">
        <f t="shared" si="4"/>
        <v>537</v>
      </c>
      <c r="AJ13" s="867">
        <f t="shared" si="4"/>
        <v>0</v>
      </c>
      <c r="AK13" s="870">
        <f>SUBTOTAL(9,AK9:AK12)</f>
        <v>0</v>
      </c>
      <c r="AL13" s="874">
        <f>IF(ISNUMBER(NºAsuntos!G13/NºAsuntos!E13),NºAsuntos!G13/NºAsuntos!E13," - ")</f>
        <v>1.1189427312775331</v>
      </c>
      <c r="AM13" s="874">
        <f>IF(ISNUMBER(((NºAsuntos!I13/NºAsuntos!G13)*11)/factor_trimestre),((NºAsuntos!I13/NºAsuntos!G13)*11)/factor_trimestre," - ")</f>
        <v>11.431594488188976</v>
      </c>
      <c r="AN13" s="875">
        <f>IF(ISNUMBER('Resol  Asuntos'!D13/NºAsuntos!G13),'Resol  Asuntos'!D13/NºAsuntos!G13," - ")</f>
        <v>0.26427165354330706</v>
      </c>
      <c r="AO13" s="876">
        <f>IF(ISNUMBER((NºAsuntos!C13+NºAsuntos!E13)/NºAsuntos!G13),(NºAsuntos!C13+NºAsuntos!E13)/NºAsuntos!G13," - ")</f>
        <v>4.8538385826771657</v>
      </c>
      <c r="AP13" s="877" t="str">
        <f t="shared" si="2"/>
        <v xml:space="preserve"> - </v>
      </c>
      <c r="AQ13" s="877">
        <f>IF(ISNUMBER((H13-W13+K13)/(F13)),(H13-W13+K13)/(F13)," - ")</f>
        <v>-0.25675675675675674</v>
      </c>
      <c r="AR13" s="878">
        <f>IF(ISNUMBER((Datos!P13-Datos!Q13)/(Datos!R13-Datos!P13+Datos!Q13)),(Datos!P13-Datos!Q13)/(Datos!R13-Datos!P13+Datos!Q13)," - ")</f>
        <v>-4.2710027100271004E-2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7</v>
      </c>
      <c r="B16" s="275" t="s">
        <v>396</v>
      </c>
      <c r="C16" s="160" t="str">
        <f>Datos!A16</f>
        <v xml:space="preserve">Jdos. 1ª Instª. e Instr.                        </v>
      </c>
      <c r="D16" s="160"/>
      <c r="E16" s="1025">
        <f>IF(ISNUMBER(Datos!AQ16),Datos!AQ16," - ")</f>
        <v>7</v>
      </c>
      <c r="F16" s="225">
        <f>IF(ISNUMBER(AA16+W16-Datos!J16-K16),AA16+W16-Datos!J16-K16," - ")</f>
        <v>2849</v>
      </c>
      <c r="G16" s="333">
        <f>IF(ISNUMBER(IF(D_I="SI",Datos!I16,Datos!I16+Datos!AC16)),IF(D_I="SI",Datos!I16,Datos!I16+Datos!AC16)," - ")</f>
        <v>2848</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45</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1629</v>
      </c>
      <c r="X16" s="226">
        <f>IF(ISNUMBER(Datos!Q16),Datos!Q16," - ")</f>
        <v>50</v>
      </c>
      <c r="Y16" s="334">
        <f t="shared" ref="Y16:Y17" si="7">SUM(W16:X16)</f>
        <v>1679</v>
      </c>
      <c r="Z16" s="335" t="str">
        <f>IF(ISNUMBER(Datos!CC16),Datos!CC16," - ")</f>
        <v xml:space="preserve"> - </v>
      </c>
      <c r="AA16" s="332">
        <f>IF(ISNUMBER(IF(D_I="SI",Datos!L16,Datos!L16+Datos!AF16)),IF(D_I="SI",Datos!L16,Datos!L16+Datos!AF16)," - ")</f>
        <v>3027</v>
      </c>
      <c r="AB16" s="334">
        <f>IF(ISNUMBER(Datos!R16),Datos!R16," - ")</f>
        <v>276</v>
      </c>
      <c r="AC16" s="334">
        <f t="shared" si="6"/>
        <v>3303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279</v>
      </c>
      <c r="AJ16" s="231" t="str">
        <f>IF(ISNUMBER(Datos!BW16),Datos!BW16," - ")</f>
        <v xml:space="preserve"> - </v>
      </c>
      <c r="AK16" s="232" t="str">
        <f>IF(ISNUMBER(Datos!BX16),Datos!BX16," - ")</f>
        <v xml:space="preserve"> - </v>
      </c>
      <c r="AL16" s="243">
        <f>IF(ISNUMBER(NºAsuntos!G16/NºAsuntos!E16),NºAsuntos!G16/NºAsuntos!E16," - ")</f>
        <v>0.9014941892639734</v>
      </c>
      <c r="AM16" s="260">
        <f>IF(ISNUMBER(((NºAsuntos!I16/NºAsuntos!G16)*11)/factor_trimestre),((NºAsuntos!I16/NºAsuntos!G16)*11)/factor_trimestre," - ")</f>
        <v>5.5745856353591163</v>
      </c>
      <c r="AN16" s="244">
        <f>IF(ISNUMBER('Resol  Asuntos'!D16/NºAsuntos!G16),'Resol  Asuntos'!D16/NºAsuntos!G16," - ")</f>
        <v>0.17127071823204421</v>
      </c>
      <c r="AO16" s="245">
        <f>IF(ISNUMBER((NºAsuntos!C16+NºAsuntos!E16)/NºAsuntos!G16),(NºAsuntos!C16+NºAsuntos!E16)/NºAsuntos!G16," - ")</f>
        <v>2.8575813382443216</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118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41</v>
      </c>
      <c r="X17" s="226">
        <f>IF(ISNUMBER(Datos!Q17),Datos!Q17," - ")</f>
        <v>0</v>
      </c>
      <c r="Y17" s="334">
        <f t="shared" si="7"/>
        <v>41</v>
      </c>
      <c r="Z17" s="335" t="str">
        <f>IF(ISNUMBER(Datos!CC17),Datos!CC17," - ")</f>
        <v xml:space="preserve"> - </v>
      </c>
      <c r="AA17" s="332">
        <f>IF(ISNUMBER(Datos!L17),Datos!L17,"-")</f>
        <v>84</v>
      </c>
      <c r="AB17" s="334">
        <f>IF(ISNUMBER(Datos!R17),Datos!R17," - ")</f>
        <v>0</v>
      </c>
      <c r="AC17" s="334">
        <f t="shared" si="6"/>
        <v>84</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f>IF(ISNUMBER(NºAsuntos!G17/NºAsuntos!E17),NºAsuntos!G17/NºAsuntos!E17," - ")</f>
        <v>5.8571428571428568</v>
      </c>
      <c r="AM17" s="260">
        <f>IF(ISNUMBER(((NºAsuntos!I17/NºAsuntos!G17)*11)/factor_trimestre),((NºAsuntos!I17/NºAsuntos!G17)*11)/factor_trimestre," - ")</f>
        <v>6.1463414634146352</v>
      </c>
      <c r="AN17" s="244">
        <f>IF(ISNUMBER('Resol  Asuntos'!D17/NºAsuntos!G17),'Resol  Asuntos'!D17/NºAsuntos!G17," - ")</f>
        <v>0</v>
      </c>
      <c r="AO17" s="245">
        <f>IF(ISNUMBER((NºAsuntos!C17+NºAsuntos!E17)/NºAsuntos!G17),(NºAsuntos!C17+NºAsuntos!E17)/NºAsuntos!G17," - ")</f>
        <v>3.0487804878048781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7</v>
      </c>
      <c r="F18" s="865">
        <f>SUBTOTAL(9,F14:F17)</f>
        <v>2849</v>
      </c>
      <c r="G18" s="866">
        <f>SUBTOTAL(9,G15:G17)</f>
        <v>2966</v>
      </c>
      <c r="H18" s="865">
        <f t="shared" ref="H18:O18" si="10">SUBTOTAL(9,H14:H17)</f>
        <v>0</v>
      </c>
      <c r="I18" s="867">
        <f t="shared" si="10"/>
        <v>0</v>
      </c>
      <c r="J18" s="867">
        <f t="shared" si="10"/>
        <v>0</v>
      </c>
      <c r="K18" s="867">
        <f t="shared" si="10"/>
        <v>0</v>
      </c>
      <c r="L18" s="867">
        <f t="shared" si="10"/>
        <v>45</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1670</v>
      </c>
      <c r="X18" s="867">
        <f t="shared" si="11"/>
        <v>50</v>
      </c>
      <c r="Y18" s="868">
        <f t="shared" si="11"/>
        <v>1720</v>
      </c>
      <c r="Z18" s="868">
        <f t="shared" si="11"/>
        <v>0</v>
      </c>
      <c r="AA18" s="868">
        <f t="shared" si="11"/>
        <v>3111</v>
      </c>
      <c r="AB18" s="868">
        <f t="shared" si="11"/>
        <v>276</v>
      </c>
      <c r="AC18" s="868">
        <f t="shared" si="11"/>
        <v>3387</v>
      </c>
      <c r="AD18" s="868">
        <f t="shared" si="11"/>
        <v>0</v>
      </c>
      <c r="AE18" s="872">
        <f t="shared" si="11"/>
        <v>0</v>
      </c>
      <c r="AF18" s="865">
        <f t="shared" si="11"/>
        <v>0</v>
      </c>
      <c r="AG18" s="873">
        <f t="shared" si="11"/>
        <v>0</v>
      </c>
      <c r="AH18" s="870">
        <f t="shared" si="11"/>
        <v>0</v>
      </c>
      <c r="AI18" s="865">
        <f t="shared" si="11"/>
        <v>279</v>
      </c>
      <c r="AJ18" s="867">
        <f t="shared" si="11"/>
        <v>0</v>
      </c>
      <c r="AK18" s="870">
        <f t="shared" si="11"/>
        <v>0</v>
      </c>
      <c r="AL18" s="874">
        <f>IF(ISNUMBER(NºAsuntos!G18/NºAsuntos!E18),NºAsuntos!G18/NºAsuntos!E18," - ")</f>
        <v>0.9206174200661521</v>
      </c>
      <c r="AM18" s="874">
        <f>IF(ISNUMBER(((NºAsuntos!I18/NºAsuntos!G18)*11)/factor_trimestre),((NºAsuntos!I18/NºAsuntos!G18)*11)/factor_trimestre," - ")</f>
        <v>5.588622754491019</v>
      </c>
      <c r="AN18" s="875">
        <f>IF(ISNUMBER('Resol  Asuntos'!D18/NºAsuntos!G18),'Resol  Asuntos'!D18/NºAsuntos!G18," - ")</f>
        <v>0.16706586826347306</v>
      </c>
      <c r="AO18" s="876">
        <f>IF(ISNUMBER((NºAsuntos!C18+NºAsuntos!E18)/NºAsuntos!G18),(NºAsuntos!C18+NºAsuntos!E18)/NºAsuntos!G18," - ")</f>
        <v>2.8622754491017965</v>
      </c>
      <c r="AP18" s="877" t="str">
        <f t="shared" si="2"/>
        <v xml:space="preserve"> - </v>
      </c>
      <c r="AQ18" s="877">
        <f>IF(ISNUMBER((H18-W18+K18)/(F18)),(H18-W18+K18)/(F18)," - ")</f>
        <v>-0.58617058617058615</v>
      </c>
      <c r="AR18" s="878">
        <f>IF(ISNUMBER((Datos!P18-Datos!Q18)/(Datos!R18-Datos!P18+Datos!Q18)),(Datos!P18-Datos!Q18)/(Datos!R18-Datos!P18+Datos!Q18)," - ")</f>
        <v>-1.7793594306049824E-2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14</v>
      </c>
      <c r="F19" s="820">
        <f t="shared" si="13"/>
        <v>2997</v>
      </c>
      <c r="G19" s="821">
        <f t="shared" si="13"/>
        <v>3114</v>
      </c>
      <c r="H19" s="820">
        <f t="shared" si="13"/>
        <v>0</v>
      </c>
      <c r="I19" s="822">
        <f t="shared" si="13"/>
        <v>0</v>
      </c>
      <c r="J19" s="822">
        <f t="shared" si="13"/>
        <v>0</v>
      </c>
      <c r="K19" s="881">
        <f t="shared" si="13"/>
        <v>0</v>
      </c>
      <c r="L19" s="822">
        <f t="shared" si="13"/>
        <v>525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1708</v>
      </c>
      <c r="X19" s="821">
        <f t="shared" si="14"/>
        <v>924</v>
      </c>
      <c r="Y19" s="828">
        <f t="shared" si="14"/>
        <v>2632</v>
      </c>
      <c r="Z19" s="828">
        <f t="shared" si="14"/>
        <v>0</v>
      </c>
      <c r="AA19" s="828">
        <f t="shared" si="14"/>
        <v>3236</v>
      </c>
      <c r="AB19" s="828">
        <f t="shared" si="14"/>
        <v>9107</v>
      </c>
      <c r="AC19" s="828">
        <f t="shared" si="14"/>
        <v>3558</v>
      </c>
      <c r="AD19" s="828">
        <f t="shared" si="14"/>
        <v>0</v>
      </c>
      <c r="AE19" s="830">
        <f t="shared" si="14"/>
        <v>0</v>
      </c>
      <c r="AF19" s="831">
        <f t="shared" si="14"/>
        <v>0</v>
      </c>
      <c r="AG19" s="832">
        <f t="shared" si="14"/>
        <v>0</v>
      </c>
      <c r="AH19" s="830">
        <f t="shared" si="14"/>
        <v>0</v>
      </c>
      <c r="AI19" s="820">
        <f t="shared" si="14"/>
        <v>816</v>
      </c>
      <c r="AJ19" s="820">
        <f t="shared" si="14"/>
        <v>0</v>
      </c>
      <c r="AK19" s="830">
        <f t="shared" si="14"/>
        <v>0</v>
      </c>
      <c r="AL19" s="884">
        <f>IF(ISNUMBER(NºAsuntos!G19/NºAsuntos!E19),NºAsuntos!G19/NºAsuntos!E19," - ")</f>
        <v>1.0198347107438017</v>
      </c>
      <c r="AM19" s="885">
        <f>IF(ISNUMBER(((NºAsuntos!I19/NºAsuntos!G19)*11)/factor_trimestre),((NºAsuntos!I19/NºAsuntos!G19)*11)/factor_trimestre," - ")</f>
        <v>8.7957860615883323</v>
      </c>
      <c r="AN19" s="885">
        <f>IF(ISNUMBER('Resol  Asuntos'!D19/NºAsuntos!G19),'Resol  Asuntos'!D19/NºAsuntos!G19," - ")</f>
        <v>0.22042139384116693</v>
      </c>
      <c r="AO19" s="886">
        <f>IF(ISNUMBER((NºAsuntos!C19+NºAsuntos!E19)/NºAsuntos!G19),(NºAsuntos!C19+NºAsuntos!E19)/NºAsuntos!G19," - ")</f>
        <v>3.9554294975688817</v>
      </c>
      <c r="AP19" s="887" t="str">
        <f t="shared" si="2"/>
        <v xml:space="preserve"> - </v>
      </c>
      <c r="AQ19" s="888">
        <f>IF(OR(ISNUMBER(FIND("01",Criterios!A8,1)),ISNUMBER(FIND("02",Criterios!A8,1)),ISNUMBER(FIND("03",Criterios!A8,1)),ISNUMBER(FIND("04",Criterios!A8,1))),(I19-W19+K19)/(F19-K19),(H19-W19+K19)/(F19-K19))</f>
        <v>-0.56990323656990327</v>
      </c>
      <c r="AR19" s="889">
        <f>IF(ISNUMBER((Datos!P19-Datos!Q19)/(Datos!R19-Datos!P19+Datos!Q19)),(Datos!P19-Datos!Q19)/(Datos!R19-Datos!P19+Datos!Q19)," - ")</f>
        <v>-4.1973490427098671E-2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1245.5999999999999</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3.6893239368631092</v>
      </c>
      <c r="F21" s="252">
        <f>IF(ISNUMBER(STDEV(F8:F18)),STDEV(F8:F18),"-")</f>
        <v>1559.4230770811791</v>
      </c>
      <c r="G21" s="253">
        <f>IF(ISNUMBER(STDEV(G8:G18)),STDEV(G8:G18),"-")</f>
        <v>1517.2668848953369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882.22712495139251</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231.01688249995931</v>
      </c>
      <c r="AJ21" s="252">
        <f t="shared" si="18"/>
        <v>0</v>
      </c>
      <c r="AK21" s="254">
        <f t="shared" si="18"/>
        <v>0</v>
      </c>
      <c r="AL21" s="249">
        <f t="shared" si="18"/>
        <v>1.9532087611156606</v>
      </c>
      <c r="AM21" s="250">
        <f t="shared" si="18"/>
        <v>2.8867503496285214</v>
      </c>
      <c r="AN21" s="250">
        <f t="shared" si="18"/>
        <v>0.18232429505392428</v>
      </c>
      <c r="AO21" s="251">
        <f t="shared" si="18"/>
        <v>0.98135003800094944</v>
      </c>
      <c r="AP21" s="291" t="str">
        <f t="shared" si="18"/>
        <v>-</v>
      </c>
      <c r="AQ21" s="292">
        <f t="shared" si="18"/>
        <v>0.23293075259514723</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1zXi4NtEPF/eOuNQnM2J4r/Ee744xOA+9dK8T2RxInsxYSlIKROYLs3QnqlEd9bbmZRuRa1XnaBHk9vlTjGsFg==" saltValue="laRytWvotmk5NXgwYMNMc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ALMERIA</v>
      </c>
      <c r="E3" s="263"/>
    </row>
    <row r="4" spans="2:20" ht="17.25" customHeight="1" thickBot="1">
      <c r="D4" s="262" t="str">
        <f>Criterios!A11 &amp;"  "&amp;Criterios!B11</f>
        <v>Resumenes por Partidos Judiciales  ROQUETAS DE MAR</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-0.2780487804878049</v>
      </c>
      <c r="E10" s="348">
        <f>IF(ISNUMBER((Datos!J10-Datos!T10)/Datos!T10),(Datos!J10-Datos!T10)/Datos!T10," - ")</f>
        <v>-0.2857142857142857</v>
      </c>
      <c r="F10" s="348">
        <f>IF(ISNUMBER((Datos!K10-Datos!U10)/Datos!U10),(Datos!K10-Datos!U10)/Datos!U10," - ")</f>
        <v>0.40740740740740738</v>
      </c>
      <c r="G10" s="349">
        <f>IF(ISNUMBER((Datos!L10-Datos!V10)/Datos!V10),(Datos!L10-Datos!V10)/Datos!V10," - ")</f>
        <v>-0.37185929648241206</v>
      </c>
      <c r="H10" s="230">
        <f>IF(ISNUMBER((Datos!M10-Datos!W10)/Datos!W10),(Datos!M10-Datos!W10)/Datos!W10," - ")</f>
        <v>0.3125</v>
      </c>
      <c r="I10" s="350">
        <f>IF(ISNUMBER((Tasas!C10-Datos!BE10)/Datos!BE10),(Tasas!C10-Datos!BE10)/Datos!BE10," - ")</f>
        <v>-0.55368950013224028</v>
      </c>
      <c r="J10" s="349">
        <f>IF(ISNUMBER((Tasas!D10-Datos!BF10)/Datos!BF10),(Tasas!D10-Datos!BF10)/Datos!BF10," - ")</f>
        <v>-6.7434210526315652E-2</v>
      </c>
      <c r="K10" s="351">
        <f>IF(ISNUMBER((Tasas!E10-Datos!BG10)/Datos!BG10),(Tasas!E10-Datos!BG10)/Datos!BG10," - ")</f>
        <v>-0.48754075454122026</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0.23444976076555024</v>
      </c>
      <c r="I12" s="350">
        <f>IF(ISNUMBER((Tasas!C12-Datos!BE12)/Datos!BE12),(Tasas!C12-Datos!BE12)/Datos!BE12," - ")</f>
        <v>0.18811004832990944</v>
      </c>
      <c r="J12" s="349">
        <f>IF(ISNUMBER((Tasas!D12-Datos!BF12)/Datos!BF12),(Tasas!D12-Datos!BF12)/Datos!BF12," - ")</f>
        <v>-0.10484013710962099</v>
      </c>
      <c r="K12" s="351">
        <f>IF(ISNUMBER((Tasas!E12-Datos!BG12)/Datos!BG12),(Tasas!E12-Datos!BG12)/Datos!BG12," - ")</f>
        <v>0.21882276847033683</v>
      </c>
      <c r="M12" t="e">
        <f>IF(Monitorios="SI",Datos!CE12,0)</f>
        <v>#REF!</v>
      </c>
      <c r="N12" t="e">
        <f>IF(Monitorios="SI",Datos!CF12,0)</f>
        <v>#REF!</v>
      </c>
      <c r="O12" t="e">
        <f>IF(Monitorios="SI",Datos!CG12,0)</f>
        <v>#REF!</v>
      </c>
      <c r="P12" t="e">
        <f>IF(Monitorios="SI",Datos!CH12,0)</f>
        <v>#REF!</v>
      </c>
      <c r="Q12">
        <f>IF(J_V="SI",0,Datos!AG12)</f>
        <v>94</v>
      </c>
      <c r="R12">
        <f>IF(J_V="SI",0,Datos!AH12)</f>
        <v>54</v>
      </c>
      <c r="S12">
        <f>IF(J_V="SI",0,Datos!AI12)</f>
        <v>52</v>
      </c>
      <c r="T12">
        <f>IF(J_V="SI",0,Datos!AJ12)</f>
        <v>96</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0.23732718894009217</v>
      </c>
      <c r="I13" s="357">
        <f>IF(ISNUMBER((Tasas!C13-Datos!BE13)/Datos!BE13),(Tasas!C13-Datos!BE13)/Datos!BE13," - ")</f>
        <v>0.16308913837923367</v>
      </c>
      <c r="J13" s="355">
        <f>IF(ISNUMBER((Tasas!D13-Datos!BF13)/Datos!BF13),(Tasas!D13-Datos!BF13)/Datos!BF13," - ")</f>
        <v>-9.9626963066080917E-2</v>
      </c>
      <c r="K13" s="358">
        <f>IF(ISNUMBER((Tasas!E13-Datos!BG13)/Datos!BG13),(Tasas!E13-Datos!BG13)/Datos!BG13," - ")</f>
        <v>0.19696099412859996</v>
      </c>
      <c r="M13" t="e">
        <f>IF(Monitorios="SI",Datos!CE13,0)</f>
        <v>#REF!</v>
      </c>
      <c r="N13" t="e">
        <f>IF(Monitorios="SI",Datos!CF13,0)</f>
        <v>#REF!</v>
      </c>
      <c r="O13" t="e">
        <f>IF(Monitorios="SI",Datos!CG13,0)</f>
        <v>#REF!</v>
      </c>
      <c r="P13" t="e">
        <f>IF(Monitorios="SI",Datos!CH13,0)</f>
        <v>#REF!</v>
      </c>
      <c r="Q13">
        <f>IF(J_V="SI",0,Datos!AG13)</f>
        <v>94</v>
      </c>
      <c r="R13">
        <f>IF(J_V="SI",0,Datos!AH13)</f>
        <v>54</v>
      </c>
      <c r="S13">
        <f>IF(J_V="SI",0,Datos!AI13)</f>
        <v>52</v>
      </c>
      <c r="T13">
        <f>IF(J_V="SI",0,Datos!AJ13)</f>
        <v>96</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0.40850642927794262</v>
      </c>
      <c r="E16" s="348">
        <f>IF(ISNUMBER(
   IF(D_I="SI",(Datos!J16-Datos!T16)/Datos!T16,(Datos!J16+Datos!AD16-(Datos!T16+Datos!AL16))/(Datos!T16+Datos!AL16))
     ),IF(D_I="SI",(Datos!J16-Datos!T16)/Datos!T16,(Datos!J16+Datos!AD16-(Datos!T16+Datos!AL16))/(Datos!T16+Datos!AL16))," - ")</f>
        <v>-1.5258855585831062E-2</v>
      </c>
      <c r="F16" s="348">
        <f>IF(ISNUMBER(
   IF(D_I="SI",(Datos!K16-Datos!U16)/Datos!U16,(Datos!K16+Datos!AE16-(Datos!U16+Datos!AM16))/(Datos!U16+Datos!AM16))
     ),IF(D_I="SI",(Datos!K16-Datos!U16)/Datos!U16,(Datos!K16+Datos!AE16-(Datos!U16+Datos!AM16))/(Datos!U16+Datos!AM16))," - ")</f>
        <v>6.0546875E-2</v>
      </c>
      <c r="G16" s="349">
        <f>IF(ISNUMBER(
   IF(D_I="SI",(Datos!L16-Datos!V16)/Datos!V16,(Datos!L16+Datos!AF16-(Datos!V16+Datos!AN16))/(Datos!V16+Datos!AN16))
     ),IF(D_I="SI",(Datos!L16-Datos!V16)/Datos!V16,(Datos!L16+Datos!AF16-(Datos!V16+Datos!AN16))/(Datos!V16+Datos!AN16))," - ")</f>
        <v>0.23399918467183042</v>
      </c>
      <c r="H16" s="230">
        <f>IF(ISNUMBER((Datos!M16-Datos!W16)/Datos!W16),(Datos!M16-Datos!W16)/Datos!W16," - ")</f>
        <v>0.10714285714285714</v>
      </c>
      <c r="I16" s="350">
        <f>IF(ISNUMBER((Tasas!C16-Datos!BE16)/Datos!BE16),(Tasas!C16-Datos!BE16)/Datos!BE16," - ")</f>
        <v>0.16354987578633004</v>
      </c>
      <c r="J16" s="349">
        <f>IF(ISNUMBER((Tasas!D16-Datos!BF16)/Datos!BF16),(Tasas!D16-Datos!BF16)/Datos!BF16," - ")</f>
        <v>4.3935806366745635E-2</v>
      </c>
      <c r="K16" s="351">
        <f>IF(ISNUMBER((Tasas!E16-Datos!BG16)/Datos!BG16),(Tasas!E16-Datos!BG16)/Datos!BG16," - ")</f>
        <v>0.13799453864228098</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v>
      </c>
      <c r="E17" s="348">
        <f>IF(ISNUMBER(
   IF(D_I="SI",(Datos!J17-Datos!T17)/Datos!T17,(Datos!J17+Datos!AD17-(Datos!T17+Datos!AL17))/(Datos!T17+Datos!AL17))
     ),IF(D_I="SI",(Datos!J17-Datos!T17)/Datos!T17,(Datos!J17+Datos!AD17-(Datos!T17+Datos!AL17))/(Datos!T17+Datos!AL17))," - ")</f>
        <v>-0.63157894736842102</v>
      </c>
      <c r="F17" s="348">
        <f>IF(ISNUMBER(
   IF(D_I="SI",(Datos!K17-Datos!U17)/Datos!U17,(Datos!K17+Datos!AE17-(Datos!U17+Datos!AM17))/(Datos!U17+Datos!AM17))
     ),IF(D_I="SI",(Datos!K17-Datos!U17)/Datos!U17,(Datos!K17+Datos!AE17-(Datos!U17+Datos!AM17))/(Datos!U17+Datos!AM17))," - ")</f>
        <v>-0.19607843137254902</v>
      </c>
      <c r="G17" s="349">
        <f>IF(ISNUMBER(
   IF(D_I="SI",(Datos!L17-Datos!V17)/Datos!V17,(Datos!L17+Datos!AF17-(Datos!V17+Datos!AN17))/(Datos!V17+Datos!AN17))
     ),IF(D_I="SI",(Datos!L17-Datos!V17)/Datos!V17,(Datos!L17+Datos!AF17-(Datos!V17+Datos!AN17))/(Datos!V17+Datos!AN17))," - ")</f>
        <v>-0.58823529411764708</v>
      </c>
      <c r="H17" s="230" t="str">
        <f>IF(ISNUMBER((Datos!M17-Datos!W17)/Datos!W17),(Datos!M17-Datos!W17)/Datos!W17," - ")</f>
        <v xml:space="preserve"> - </v>
      </c>
      <c r="I17" s="350">
        <f>IF(ISNUMBER((Tasas!C17-Datos!BE17)/Datos!BE17),(Tasas!C17-Datos!BE17)/Datos!BE17," - ")</f>
        <v>-0.48780487804878048</v>
      </c>
      <c r="J17" s="349" t="str">
        <f>IF(ISNUMBER((Tasas!D17-Datos!BF17)/Datos!BF17),(Tasas!D17-Datos!BF17)/Datos!BF17," - ")</f>
        <v xml:space="preserve"> - </v>
      </c>
      <c r="K17" s="351">
        <f>IF(ISNUMBER((Tasas!E17-Datos!BG17)/Datos!BG17),(Tasas!E17-Datos!BG17)/Datos!BG17," - ")</f>
        <v>-0.3902439024390244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0.31355181576616475</v>
      </c>
      <c r="E18" s="354">
        <f>IF(ISNUMBER(
   IF(D_I="SI",(Datos!J18-Datos!T18)/Datos!T18,(Datos!J18+Datos!AD18-(Datos!T18+Datos!AL18))/(Datos!T18+Datos!AL18))
     ),IF(D_I="SI",(Datos!J18-Datos!T18)/Datos!T18,(Datos!J18+Datos!AD18-(Datos!T18+Datos!AL18))/(Datos!T18+Datos!AL18))," - ")</f>
        <v>-2.1574973031283712E-2</v>
      </c>
      <c r="F18" s="354">
        <f>IF(ISNUMBER(
   IF(D_I="SI",(Datos!K18-Datos!U18)/Datos!U18,(Datos!K18+Datos!AE18-(Datos!U18+Datos!AM18))/(Datos!U18+Datos!AM18))
     ),IF(D_I="SI",(Datos!K18-Datos!U18)/Datos!U18,(Datos!K18+Datos!AE18-(Datos!U18+Datos!AM18))/(Datos!U18+Datos!AM18))," - ")</f>
        <v>5.2299936988027727E-2</v>
      </c>
      <c r="G18" s="355">
        <f>IF(ISNUMBER(
   IF(D_I="SI",(Datos!L18-Datos!V18)/Datos!V18,(Datos!L18+Datos!AF18-(Datos!V18+Datos!AN18))/(Datos!V18+Datos!AN18))
     ),IF(D_I="SI",(Datos!L18-Datos!V18)/Datos!V18,(Datos!L18+Datos!AF18-(Datos!V18+Datos!AN18))/(Datos!V18+Datos!AN18))," - ")</f>
        <v>0.17086940158073013</v>
      </c>
      <c r="H18" s="356">
        <f>IF(ISNUMBER((Datos!M18-Datos!W18)/Datos!W18),(Datos!M18-Datos!W18)/Datos!W18," - ")</f>
        <v>0.10714285714285714</v>
      </c>
      <c r="I18" s="357">
        <f>IF(ISNUMBER((Tasas!C18-Datos!BE18)/Datos!BE18),(Tasas!C18-Datos!BE18)/Datos!BE18," - ")</f>
        <v>0.11267649120276579</v>
      </c>
      <c r="J18" s="355">
        <f>IF(ISNUMBER((Tasas!D18-Datos!BF18)/Datos!BF18),(Tasas!D18-Datos!BF18)/Datos!BF18," - ")</f>
        <v>5.2117194183062522E-2</v>
      </c>
      <c r="K18" s="358">
        <f>IF(ISNUMBER((Tasas!E18-Datos!BG18)/Datos!BG18),(Tasas!E18-Datos!BG18)/Datos!BG18," - ")</f>
        <v>0.10467683310421962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0.4128287363694676</v>
      </c>
      <c r="E19" s="363">
        <f>IF(ISNUMBER(
   IF(J_V="SI",(Datos!J19-Datos!T19)/Datos!T19,(Datos!J19+Datos!Z19-(Datos!T19+Datos!AH19))/(Datos!T19+Datos!AH19))
     ),IF(J_V="SI",(Datos!J19-Datos!T19)/Datos!T19,(Datos!J19+Datos!Z19-(Datos!T19+Datos!AH19))/(Datos!T19+Datos!AH19))," - ")</f>
        <v>-4.9489395129615081E-2</v>
      </c>
      <c r="F19" s="363">
        <f>IF(ISNUMBER(
   IF(J_V="SI",(Datos!K19-Datos!U19)/Datos!U19,(Datos!K19+Datos!AA19-(Datos!U19+Datos!AI19))/(Datos!U19+Datos!AI19))
     ),IF(J_V="SI",(Datos!K19-Datos!U19)/Datos!U19,(Datos!K19+Datos!AA19-(Datos!U19+Datos!AI19))/(Datos!U19+Datos!AI19))," - ")</f>
        <v>7.7102123945301138E-2</v>
      </c>
      <c r="G19" s="364">
        <f>IF(ISNUMBER(
   IF(J_V="SI",(Datos!L19-Datos!V19)/Datos!V19,(Datos!L19+Datos!AB19-(Datos!V19+Datos!AJ19))/(Datos!V19+Datos!AJ19))
     ),IF(J_V="SI",(Datos!L19-Datos!V19)/Datos!V19,(Datos!L19+Datos!AB19-(Datos!V19+Datos!AJ19))/(Datos!V19+Datos!AJ19))," - ")</f>
        <v>0.24501032346868548</v>
      </c>
      <c r="H19" s="365">
        <f>IF(ISNUMBER((Datos!M19-Datos!W19)/Datos!W19),(Datos!M19-Datos!W19)/Datos!W19," - ")</f>
        <v>0.18950437317784258</v>
      </c>
      <c r="I19" s="362">
        <f>IF(ISNUMBER((Tasas!C19-Datos!BE19)/Datos!BE19),(Tasas!C19-Datos!BE19)/Datos!BE19," - ")</f>
        <v>0.15588883894161859</v>
      </c>
      <c r="J19" s="363">
        <f>IF(ISNUMBER((Tasas!D19-Datos!BF19)/Datos!BF19),(Tasas!D19-Datos!BF19)/Datos!BF19," - ")</f>
        <v>-4.7058703607433049E-2</v>
      </c>
      <c r="K19" s="364">
        <f>IF(ISNUMBER((Tasas!E19-Datos!BG19)/Datos!BG19),(Tasas!E19-Datos!BG19)/Datos!BG19," - ")</f>
        <v>0.17055374402826295</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0.44411696404123513</v>
      </c>
      <c r="E21" s="278">
        <f t="shared" si="1"/>
        <v>0.29076526585795015</v>
      </c>
      <c r="F21" s="278">
        <f t="shared" si="1"/>
        <v>0.24802974885827517</v>
      </c>
      <c r="G21" s="279">
        <f t="shared" si="1"/>
        <v>0.40463279216007908</v>
      </c>
      <c r="H21" s="285">
        <f t="shared" si="1"/>
        <v>9.0112207584761128E-2</v>
      </c>
      <c r="I21" s="277">
        <f t="shared" si="1"/>
        <v>0.35139099986090599</v>
      </c>
      <c r="J21" s="278">
        <f t="shared" si="1"/>
        <v>7.7340788466008545E-2</v>
      </c>
      <c r="K21" s="279">
        <f t="shared" si="1"/>
        <v>0.31579914083878252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p3bst17Miw8aCLH/W0/niTR5iSZ+H/rbEHIjP3n+Es8yUJgR2QefRDbO2pZW49Y4yEIjPukMgngIJuG4Eh3PhA==" saltValue="5fkMV4EsW22HSRiVsILI0A=="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2025-09-24T17:45:26Z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